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2430" windowWidth="15330" windowHeight="4320" activeTab="2"/>
  </bookViews>
  <sheets>
    <sheet name="Chiusura" sheetId="1" r:id="rId1"/>
    <sheet name="DATI" sheetId="2" r:id="rId2"/>
    <sheet name="DATI2" sheetId="3" r:id="rId3"/>
    <sheet name="piano ecomonico" sheetId="4" r:id="rId4"/>
    <sheet name="avanzamento" sheetId="5" r:id="rId5"/>
    <sheet name="Collaudi" sheetId="6" r:id="rId6"/>
    <sheet name="Disponibilità" sheetId="7" r:id="rId7"/>
    <sheet name="Descr Progetti" sheetId="8" r:id="rId8"/>
    <sheet name="situazione" sheetId="9" r:id="rId9"/>
    <sheet name="ATTI" sheetId="10" r:id="rId10"/>
    <sheet name="prospetto" sheetId="11" r:id="rId11"/>
    <sheet name="sett.2006" sheetId="12" r:id="rId12"/>
  </sheets>
  <definedNames>
    <definedName name="a" localSheetId="1">#REF!</definedName>
    <definedName name="a">#REF!</definedName>
    <definedName name="_xlnm.Print_Area" localSheetId="1">'DATI'!$A$2:$HU$26</definedName>
    <definedName name="_xlnm.Print_Area" localSheetId="2">'DATI2'!$FE$3:$FI$27</definedName>
    <definedName name="_xlnm.Print_Area" localSheetId="11">'sett.2006'!$A$1:$R$9</definedName>
    <definedName name="_xlnm.Print_Titles" localSheetId="4">'avanzamento'!$A:$B</definedName>
    <definedName name="_xlnm.Print_Titles" localSheetId="5">'Collaudi'!$1:$1</definedName>
    <definedName name="_xlnm.Print_Titles" localSheetId="1">'DATI'!$A:$D,'DATI'!$2:$2</definedName>
    <definedName name="_xlnm.Print_Titles" localSheetId="2">'DATI2'!$A:$E,'DATI2'!$2:$2</definedName>
    <definedName name="_xlnm.Print_Titles" localSheetId="6">'Disponibilità'!$A:$B,'Disponibilità'!$1:$5</definedName>
    <definedName name="_xlnm.Print_Titles" localSheetId="3">'piano ecomonico'!$A:$C,'piano ecomonico'!$1:$1</definedName>
    <definedName name="_xlnm.Print_Titles" localSheetId="10">'prospetto'!$1:$2</definedName>
  </definedNames>
  <calcPr fullCalcOnLoad="1"/>
</workbook>
</file>

<file path=xl/comments2.xml><?xml version="1.0" encoding="utf-8"?>
<comments xmlns="http://schemas.openxmlformats.org/spreadsheetml/2006/main">
  <authors>
    <author>Sud sys2</author>
    <author>sciacovelli</author>
    <author>Regione Puglia</author>
    <author>.</author>
    <author>Nicola</author>
  </authors>
  <commentList>
    <comment ref="K16" authorId="0">
      <text>
        <r>
          <rPr>
            <b/>
            <sz val="8"/>
            <rFont val="Tahoma"/>
            <family val="0"/>
          </rPr>
          <t>era riportato erroneamente il 63%</t>
        </r>
      </text>
    </comment>
    <comment ref="HB19" authorId="1">
      <text>
        <r>
          <rPr>
            <b/>
            <sz val="8"/>
            <rFont val="Tahoma"/>
            <family val="0"/>
          </rPr>
          <t>sciacovelli:</t>
        </r>
        <r>
          <rPr>
            <sz val="8"/>
            <rFont val="Tahoma"/>
            <family val="0"/>
          </rPr>
          <t xml:space="preserve">
eichiesta variazione data per refuso informatico</t>
        </r>
      </text>
    </comment>
    <comment ref="HC25" authorId="1">
      <text>
        <r>
          <rPr>
            <b/>
            <sz val="8"/>
            <rFont val="Tahoma"/>
            <family val="0"/>
          </rPr>
          <t>sciacovelli:</t>
        </r>
        <r>
          <rPr>
            <sz val="8"/>
            <rFont val="Tahoma"/>
            <family val="0"/>
          </rPr>
          <t xml:space="preserve">
richiesta proroga 6 mesi</t>
        </r>
      </text>
    </comment>
    <comment ref="BY7" authorId="1">
      <text>
        <r>
          <rPr>
            <sz val="8"/>
            <rFont val="Tahoma"/>
            <family val="0"/>
          </rPr>
          <t xml:space="preserve">Richiesta integrazione doc il 29.06.05
</t>
        </r>
      </text>
    </comment>
    <comment ref="HC23" authorId="1">
      <text>
        <r>
          <rPr>
            <sz val="8"/>
            <rFont val="Tahoma"/>
            <family val="0"/>
          </rPr>
          <t>proroga di 6 mesi con richiesta del 5-09-05
variazione cronoprogramma di 9 mesi fine il 31/12/2006</t>
        </r>
      </text>
    </comment>
    <comment ref="HC17" authorId="2">
      <text>
        <r>
          <rPr>
            <sz val="8"/>
            <rFont val="Tahoma"/>
            <family val="2"/>
          </rPr>
          <t xml:space="preserve">proroga 6 mesi richiesta il 9.6.06 e concessa sino al 04/08/2007
</t>
        </r>
      </text>
    </comment>
    <comment ref="HC12" authorId="2">
      <text>
        <r>
          <rPr>
            <sz val="8"/>
            <rFont val="Tahoma"/>
            <family val="2"/>
          </rPr>
          <t xml:space="preserve">Effettuata rimodulazione del pe da 12 mesi a 18 mesi. Concessa proroga di sei mesi sino al 21/01/2007 + proroga straordinaria di ulteriori 2 mesi sino al 30/03/2007
</t>
        </r>
      </text>
    </comment>
    <comment ref="BI21" authorId="1">
      <text>
        <r>
          <rPr>
            <sz val="8"/>
            <rFont val="Tahoma"/>
            <family val="0"/>
          </rPr>
          <t xml:space="preserve">chiesto meno del 30%
</t>
        </r>
      </text>
    </comment>
    <comment ref="BC21" authorId="1">
      <text>
        <r>
          <rPr>
            <sz val="8"/>
            <rFont val="Tahoma"/>
            <family val="2"/>
          </rPr>
          <t>era c/c '100000011290 e sostituito con nota del 1-12-05 rispetto a quallo della convenzione</t>
        </r>
        <r>
          <rPr>
            <sz val="8"/>
            <rFont val="Tahoma"/>
            <family val="0"/>
          </rPr>
          <t xml:space="preserve">
</t>
        </r>
      </text>
    </comment>
    <comment ref="AF7" authorId="1">
      <text>
        <r>
          <rPr>
            <sz val="8"/>
            <rFont val="Tahoma"/>
            <family val="2"/>
          </rPr>
          <t xml:space="preserve">vecchio indirizzo: Via della Repubblica 71/N 70125 Bari
</t>
        </r>
      </text>
    </comment>
    <comment ref="F4" authorId="1">
      <text>
        <r>
          <rPr>
            <sz val="7"/>
            <rFont val="Tahoma"/>
            <family val="2"/>
          </rPr>
          <t xml:space="preserve">31-1-06 S
Approvvata rimodulazione per fuoriuscita kantea. Ora notaio
</t>
        </r>
      </text>
    </comment>
    <comment ref="F6" authorId="1">
      <text>
        <r>
          <rPr>
            <sz val="7"/>
            <rFont val="Tahoma"/>
            <family val="2"/>
          </rPr>
          <t>31-1-06 Verificata la spesa. Bisogna verificare la doc tecnica.
13-3-06: consegnat rel SAL III e IV quadr.
29-3-06: richiesta proroga 6 mesi
14.3.06: SOGES dichiara pers ago04-ago05 ha lavorato presso propria sede di bari.</t>
        </r>
      </text>
    </comment>
    <comment ref="F7" authorId="1">
      <text>
        <r>
          <rPr>
            <sz val="7"/>
            <rFont val="Tahoma"/>
            <family val="2"/>
          </rPr>
          <t>31-1-06 Verificata la spesa Bisogna ora verificare la doc tecnica</t>
        </r>
      </text>
    </comment>
    <comment ref="F18" authorId="1">
      <text>
        <r>
          <rPr>
            <sz val="7"/>
            <rFont val="Tahoma"/>
            <family val="2"/>
          </rPr>
          <t>31-1-06 Non si procede alla erogazione I quota se prima non si mette a posto la doc tecnica. Pronta una nota sul sito e avviata ispezione.</t>
        </r>
      </text>
    </comment>
    <comment ref="F24" authorId="1">
      <text>
        <r>
          <rPr>
            <sz val="7"/>
            <rFont val="Tahoma"/>
            <family val="2"/>
          </rPr>
          <t xml:space="preserve">31-3-06 deve ancora fare convenzione. Verificare se il proponente non ha mutato ragione sociale.
Preparata letrtera preavviso di revoca </t>
        </r>
      </text>
    </comment>
    <comment ref="F10" authorId="1">
      <text>
        <r>
          <rPr>
            <sz val="7"/>
            <rFont val="Tahoma"/>
            <family val="2"/>
          </rPr>
          <t>31-1-06 Erogata I Sal ma manca la doc tecnica. Vedi nota specifica in archivio e avvia ispezione.</t>
        </r>
      </text>
    </comment>
    <comment ref="F13" authorId="1">
      <text>
        <r>
          <rPr>
            <sz val="7"/>
            <rFont val="Tahoma"/>
            <family val="2"/>
          </rPr>
          <t>31-1-06 Verificare le attività svolte dal personale dei consorzi se si tratta di sviluppo attività.  Manca RT attvità 3 e PdA attività 5.
PREPARARE DET III SAL</t>
        </r>
      </text>
    </comment>
    <comment ref="HB9" authorId="1">
      <text>
        <r>
          <rPr>
            <sz val="8"/>
            <rFont val="Tahoma"/>
            <family val="0"/>
          </rPr>
          <t xml:space="preserve">manca ma inserita nel Sal
</t>
        </r>
      </text>
    </comment>
    <comment ref="HC13" authorId="1">
      <text>
        <r>
          <rPr>
            <sz val="8"/>
            <rFont val="Tahoma"/>
            <family val="2"/>
          </rPr>
          <t xml:space="preserve">Cheista proroga di 6 mesi il 7/2/06 prot. 38/1562 e concessa il 23.3.06 prot 38/2543 sino al 23.5.07
</t>
        </r>
      </text>
    </comment>
    <comment ref="BC14" authorId="1">
      <text>
        <r>
          <rPr>
            <sz val="8"/>
            <rFont val="Tahoma"/>
            <family val="2"/>
          </rPr>
          <t>c/c era: 2469.73
poi era:
3548.86</t>
        </r>
      </text>
    </comment>
    <comment ref="BB14" authorId="1">
      <text>
        <r>
          <rPr>
            <sz val="8"/>
            <rFont val="Tahoma"/>
            <family val="2"/>
          </rPr>
          <t>Era: CNA Regionale Puglia</t>
        </r>
      </text>
    </comment>
    <comment ref="BH26" authorId="1">
      <text>
        <r>
          <rPr>
            <sz val="8"/>
            <rFont val="Tahoma"/>
            <family val="2"/>
          </rPr>
          <t>Era Milano Assicurazioni Divisione La Previdente, polizza n.2250200820881 del 16/12/2004</t>
        </r>
      </text>
    </comment>
    <comment ref="D33" authorId="1">
      <text>
        <r>
          <rPr>
            <sz val="8"/>
            <rFont val="Tahoma"/>
            <family val="2"/>
          </rPr>
          <t>avvio proc revoca il 15.3.06</t>
        </r>
      </text>
    </comment>
    <comment ref="F5" authorId="1">
      <text>
        <r>
          <rPr>
            <sz val="8"/>
            <rFont val="Tahoma"/>
            <family val="0"/>
          </rPr>
          <t xml:space="preserve">27-2-06: SAL 1,2,3 ; 
PDA 1,2,3,4,8
</t>
        </r>
      </text>
    </comment>
    <comment ref="F15" authorId="1">
      <text>
        <r>
          <rPr>
            <sz val="8"/>
            <rFont val="Tahoma"/>
            <family val="2"/>
          </rPr>
          <t>02-03-06: SAL 4,5</t>
        </r>
      </text>
    </comment>
    <comment ref="F16" authorId="1">
      <text>
        <r>
          <rPr>
            <sz val="8"/>
            <rFont val="Tahoma"/>
            <family val="2"/>
          </rPr>
          <t>02/03/06: SAL 1,2,3 (unico)
FATTO PREAVVISO DI REVOCA IL 8/2/07 PROT 845 SCADENZA 8/3/07</t>
        </r>
      </text>
    </comment>
    <comment ref="F33" authorId="1">
      <text>
        <r>
          <rPr>
            <sz val="8"/>
            <rFont val="Tahoma"/>
            <family val="2"/>
          </rPr>
          <t>Inviata lettera preavviso di revoca. Ora preparare revoca. Nessuna controdeduzione. Revocato con d.d. 627 del 19/06/2006</t>
        </r>
      </text>
    </comment>
    <comment ref="HB6" authorId="1">
      <text>
        <r>
          <rPr>
            <sz val="8"/>
            <rFont val="Tahoma"/>
            <family val="2"/>
          </rPr>
          <t>richiesta proroga 29-3-06 ns, prot 2837</t>
        </r>
      </text>
    </comment>
    <comment ref="HC21" authorId="1">
      <text>
        <r>
          <rPr>
            <sz val="8"/>
            <rFont val="Tahoma"/>
            <family val="2"/>
          </rPr>
          <t>Richiesta e concessa proroga di 6 mesi al 26-1-07 + modifica cronoprogramma di 4 mesi sino al 26/05/07.
Con prot.3848 del 21/06/07 viene rettificata la durata per un totale di 27 mesi, quindi sino al 26/10/07.</t>
        </r>
      </text>
    </comment>
    <comment ref="HB10" authorId="2">
      <text>
        <r>
          <rPr>
            <b/>
            <sz val="8"/>
            <rFont val="Tahoma"/>
            <family val="0"/>
          </rPr>
          <t>Regione Puglia:</t>
        </r>
        <r>
          <rPr>
            <sz val="8"/>
            <rFont val="Tahoma"/>
            <family val="0"/>
          </rPr>
          <t xml:space="preserve">
Richiesta proroga in data 06/04/2006
concessa con silenzio assenso</t>
        </r>
      </text>
    </comment>
    <comment ref="EA22" authorId="2">
      <text>
        <r>
          <rPr>
            <b/>
            <sz val="8"/>
            <rFont val="Tahoma"/>
            <family val="0"/>
          </rPr>
          <t>Regione Puglia:</t>
        </r>
        <r>
          <rPr>
            <sz val="8"/>
            <rFont val="Tahoma"/>
            <family val="0"/>
          </rPr>
          <t xml:space="preserve">
Michele: forzatura dovuta ad erogazioni non dovute in sal precedenti.</t>
        </r>
      </text>
    </comment>
    <comment ref="HB8" authorId="2">
      <text>
        <r>
          <rPr>
            <sz val="8"/>
            <rFont val="Tahoma"/>
            <family val="0"/>
          </rPr>
          <t>non concessa proroga su richiesta 15/05/06 in attesa di prima rendicontazione. Concessa proroga al 2-5-07 in data 21-7-06 dopo presentazione rendicontazione</t>
        </r>
      </text>
    </comment>
    <comment ref="I8" authorId="1">
      <text>
        <r>
          <rPr>
            <sz val="8"/>
            <rFont val="Tahoma"/>
            <family val="2"/>
          </rPr>
          <t>Era Raffaele Carucci</t>
        </r>
      </text>
    </comment>
    <comment ref="HB4" authorId="1">
      <text>
        <r>
          <rPr>
            <sz val="8"/>
            <rFont val="Tahoma"/>
            <family val="2"/>
          </rPr>
          <t>richiesta proroga il 9.8.06 al prot 38/9490 e concessa per 6 mesi sino al 29/10/2007
concessa variazione cronprogramma di 5 mesi a 35 mese + proroga</t>
        </r>
      </text>
    </comment>
    <comment ref="HC9" authorId="1">
      <text>
        <r>
          <rPr>
            <sz val="8"/>
            <rFont val="Tahoma"/>
            <family val="2"/>
          </rPr>
          <t xml:space="preserve">Richiesta proroga il 3-10-06. Concessa con nota del 17/10/2006 di 6 mesi con termine il 10-5-07
</t>
        </r>
      </text>
    </comment>
    <comment ref="HC6" authorId="1">
      <text>
        <r>
          <rPr>
            <sz val="8"/>
            <rFont val="Tahoma"/>
            <family val="2"/>
          </rPr>
          <t>fatta variazione del progetto da 24 a 36 mesi e data proroga di 6 mesi con nota 0798 del 31/10/06</t>
        </r>
      </text>
    </comment>
    <comment ref="I7" authorId="1">
      <text>
        <r>
          <rPr>
            <sz val="8"/>
            <rFont val="Tahoma"/>
            <family val="2"/>
          </rPr>
          <t>Era Raffaele Carucci</t>
        </r>
      </text>
    </comment>
    <comment ref="HC7" authorId="1">
      <text>
        <r>
          <rPr>
            <sz val="8"/>
            <rFont val="Tahoma"/>
            <family val="2"/>
          </rPr>
          <t>richiesta proroga il 2-10-06 e concessa per 30+6 mesi a finire il 1-9-07</t>
        </r>
      </text>
    </comment>
    <comment ref="HC22" authorId="1">
      <text>
        <r>
          <rPr>
            <sz val="8"/>
            <rFont val="Tahoma"/>
            <family val="2"/>
          </rPr>
          <t>richiesta proroga 6 mesi il 20-10-06 al prot 0927/7-11-06 e concessa per 6 mesi sino al 31-8-07</t>
        </r>
      </text>
    </comment>
    <comment ref="HC18" authorId="1">
      <text>
        <r>
          <rPr>
            <sz val="8"/>
            <rFont val="Tahoma"/>
            <family val="2"/>
          </rPr>
          <t>richiesta il 28/08/06 e concessa per 6 mesi sino al 1-6-07</t>
        </r>
      </text>
    </comment>
    <comment ref="HC15" authorId="3">
      <text>
        <r>
          <rPr>
            <b/>
            <sz val="8"/>
            <rFont val="Tahoma"/>
            <family val="0"/>
          </rPr>
          <t>.:</t>
        </r>
        <r>
          <rPr>
            <sz val="8"/>
            <rFont val="Tahoma"/>
            <family val="0"/>
          </rPr>
          <t xml:space="preserve">
proroga di 6 mesi richiesta in atti al 38/A1235 del 23/11/06 e concessa sino al 31/09/2007
concessi ulteriori 3 mesi su richiesta del 11,09,07</t>
        </r>
      </text>
    </comment>
    <comment ref="HC20" authorId="3">
      <text>
        <r>
          <rPr>
            <b/>
            <sz val="8"/>
            <rFont val="Tahoma"/>
            <family val="0"/>
          </rPr>
          <t>.:</t>
        </r>
        <r>
          <rPr>
            <sz val="8"/>
            <rFont val="Tahoma"/>
            <family val="0"/>
          </rPr>
          <t xml:space="preserve">
richiesta e concessa proroga di sei mesi sino al 01/07/2007 </t>
        </r>
      </text>
    </comment>
    <comment ref="HC8" authorId="1">
      <text>
        <r>
          <rPr>
            <sz val="8"/>
            <rFont val="Tahoma"/>
            <family val="2"/>
          </rPr>
          <t>richiesta proroga e concessa per sei mesi</t>
        </r>
      </text>
    </comment>
    <comment ref="HC24" authorId="1">
      <text>
        <r>
          <rPr>
            <sz val="8"/>
            <rFont val="Tahoma"/>
            <family val="2"/>
          </rPr>
          <t xml:space="preserve">In convenzione 15 mesi per la partenza in ritardo.
</t>
        </r>
      </text>
    </comment>
    <comment ref="HC26" authorId="1">
      <text>
        <r>
          <rPr>
            <sz val="8"/>
            <rFont val="Tahoma"/>
            <family val="2"/>
          </rPr>
          <t>concessa proroga 6 mesi prot 983 15/02/07</t>
        </r>
      </text>
    </comment>
    <comment ref="I4" authorId="4">
      <text>
        <r>
          <rPr>
            <b/>
            <sz val="8"/>
            <rFont val="Tahoma"/>
            <family val="0"/>
          </rPr>
          <t>già Fabrizio Nardoni</t>
        </r>
      </text>
    </comment>
    <comment ref="HC11" authorId="4">
      <text>
        <r>
          <rPr>
            <sz val="8"/>
            <rFont val="Tahoma"/>
            <family val="2"/>
          </rPr>
          <t>Richiesta proroga il 2.2.07 e concessa per 6 mesi al prot 2106 del 12.4.07 sino al 01.12.07</t>
        </r>
      </text>
    </comment>
    <comment ref="HB3" authorId="3">
      <text>
        <r>
          <rPr>
            <b/>
            <sz val="8"/>
            <rFont val="Tahoma"/>
            <family val="0"/>
          </rPr>
          <t>.:</t>
        </r>
        <r>
          <rPr>
            <sz val="8"/>
            <rFont val="Tahoma"/>
            <family val="0"/>
          </rPr>
          <t xml:space="preserve">
concessa proroga fino al 10/11/07
</t>
        </r>
      </text>
    </comment>
    <comment ref="HB17" authorId="1">
      <text>
        <r>
          <rPr>
            <b/>
            <sz val="8"/>
            <rFont val="Tahoma"/>
            <family val="0"/>
          </rPr>
          <t xml:space="preserve">era indicato il 17/11/04
</t>
        </r>
      </text>
    </comment>
    <comment ref="HC4" authorId="1">
      <text>
        <r>
          <t/>
        </r>
      </text>
    </comment>
    <comment ref="HC14" authorId="1">
      <text>
        <r>
          <rPr>
            <sz val="8"/>
            <rFont val="Tahoma"/>
            <family val="2"/>
          </rPr>
          <t>Concessa proroga di 6 mesi  prot 3719 del 18/06/2007</t>
        </r>
      </text>
    </comment>
    <comment ref="I5" authorId="1">
      <text>
        <r>
          <rPr>
            <sz val="8"/>
            <rFont val="Tahoma"/>
            <family val="2"/>
          </rPr>
          <t>Era Luigi Sansò</t>
        </r>
      </text>
    </comment>
    <comment ref="HC5" authorId="1">
      <text>
        <r>
          <rPr>
            <sz val="8"/>
            <rFont val="Tahoma"/>
            <family val="2"/>
          </rPr>
          <t>richiesta proroga il 31.7.07 e concessa per 6 mesi</t>
        </r>
      </text>
    </comment>
    <comment ref="HC3" authorId="3">
      <text>
        <r>
          <rPr>
            <b/>
            <sz val="8"/>
            <rFont val="Tahoma"/>
            <family val="0"/>
          </rPr>
          <t>.:</t>
        </r>
        <r>
          <rPr>
            <sz val="8"/>
            <rFont val="Tahoma"/>
            <family val="0"/>
          </rPr>
          <t xml:space="preserve">
concessa ulteriore proroga di 20 gg concessa il 10,10,08
</t>
        </r>
      </text>
    </comment>
    <comment ref="AF6" authorId="3">
      <text>
        <r>
          <rPr>
            <b/>
            <sz val="8"/>
            <rFont val="Tahoma"/>
            <family val="0"/>
          </rPr>
          <t>.:</t>
        </r>
        <r>
          <rPr>
            <sz val="8"/>
            <rFont val="Tahoma"/>
            <family val="0"/>
          </rPr>
          <t xml:space="preserve">
era via Junipero Serra, 19</t>
        </r>
      </text>
    </comment>
  </commentList>
</comments>
</file>

<file path=xl/comments3.xml><?xml version="1.0" encoding="utf-8"?>
<comments xmlns="http://schemas.openxmlformats.org/spreadsheetml/2006/main">
  <authors>
    <author>.</author>
    <author>sciacovelli</author>
    <author>Nicola</author>
    <author>Regione Puglia</author>
    <author>Sud sys2</author>
  </authors>
  <commentList>
    <comment ref="FR3" authorId="0">
      <text>
        <r>
          <rPr>
            <b/>
            <sz val="8"/>
            <rFont val="Tahoma"/>
            <family val="0"/>
          </rPr>
          <t>.:</t>
        </r>
        <r>
          <rPr>
            <sz val="8"/>
            <rFont val="Tahoma"/>
            <family val="0"/>
          </rPr>
          <t xml:space="preserve">
concessa proroga fino al 10/11/07
</t>
        </r>
      </text>
    </comment>
    <comment ref="FS3" authorId="0">
      <text>
        <r>
          <rPr>
            <b/>
            <sz val="8"/>
            <rFont val="Tahoma"/>
            <family val="0"/>
          </rPr>
          <t>.:</t>
        </r>
        <r>
          <rPr>
            <sz val="8"/>
            <rFont val="Tahoma"/>
            <family val="0"/>
          </rPr>
          <t xml:space="preserve">
concessa ulteriore proroga di 20 gg concessa il 10,10,08
</t>
        </r>
      </text>
    </comment>
    <comment ref="F4" authorId="1">
      <text>
        <r>
          <rPr>
            <sz val="7"/>
            <rFont val="Tahoma"/>
            <family val="2"/>
          </rPr>
          <t xml:space="preserve">31-1-06 S
Approvvata rimodulazione per fuoriuscita kantea. Ora notaio
</t>
        </r>
      </text>
    </comment>
    <comment ref="I4" authorId="2">
      <text>
        <r>
          <rPr>
            <b/>
            <sz val="8"/>
            <rFont val="Tahoma"/>
            <family val="0"/>
          </rPr>
          <t>già Fabrizio Nardoni</t>
        </r>
      </text>
    </comment>
    <comment ref="FR4" authorId="1">
      <text>
        <r>
          <rPr>
            <sz val="8"/>
            <rFont val="Tahoma"/>
            <family val="2"/>
          </rPr>
          <t>richiesta proroga il 9.8.06 al prot 38/9490 e concessa per 6 mesi sino al 29/10/2007
concessa variazione cronprogramma di 5 mesi a 35 mese + proroga</t>
        </r>
      </text>
    </comment>
    <comment ref="FS4" authorId="1">
      <text>
        <r>
          <t/>
        </r>
      </text>
    </comment>
    <comment ref="F5" authorId="1">
      <text>
        <r>
          <rPr>
            <sz val="8"/>
            <rFont val="Tahoma"/>
            <family val="0"/>
          </rPr>
          <t xml:space="preserve">27-2-06: SAL 1,2,3 ; 
PDA 1,2,3,4,8
</t>
        </r>
      </text>
    </comment>
    <comment ref="I5" authorId="1">
      <text>
        <r>
          <rPr>
            <sz val="8"/>
            <rFont val="Tahoma"/>
            <family val="2"/>
          </rPr>
          <t>Era Luigi Sansò</t>
        </r>
      </text>
    </comment>
    <comment ref="FS5" authorId="1">
      <text>
        <r>
          <rPr>
            <sz val="8"/>
            <rFont val="Tahoma"/>
            <family val="2"/>
          </rPr>
          <t>richiesta proroga il 31.7.07 e concessa per 6 mesi</t>
        </r>
      </text>
    </comment>
    <comment ref="F6" authorId="1">
      <text>
        <r>
          <rPr>
            <sz val="7"/>
            <rFont val="Tahoma"/>
            <family val="2"/>
          </rPr>
          <t>31-1-06 Verificata la spesa. Bisogna verificare la doc tecnica.
13-3-06: consegnat rel SAL III e IV quadr.
29-3-06: richiesta proroga 6 mesi
14.3.06: SOGES dichiara pers ago04-ago05 ha lavorato presso propria sede di bari.</t>
        </r>
      </text>
    </comment>
    <comment ref="AF6" authorId="0">
      <text>
        <r>
          <rPr>
            <b/>
            <sz val="8"/>
            <rFont val="Tahoma"/>
            <family val="0"/>
          </rPr>
          <t>.:</t>
        </r>
        <r>
          <rPr>
            <sz val="8"/>
            <rFont val="Tahoma"/>
            <family val="0"/>
          </rPr>
          <t xml:space="preserve">
era via Junipero Serra, 19</t>
        </r>
      </text>
    </comment>
    <comment ref="FR6" authorId="1">
      <text>
        <r>
          <rPr>
            <sz val="8"/>
            <rFont val="Tahoma"/>
            <family val="2"/>
          </rPr>
          <t>richiesta proroga 29-3-06 ns, prot 2837</t>
        </r>
      </text>
    </comment>
    <comment ref="FS6" authorId="1">
      <text>
        <r>
          <rPr>
            <sz val="8"/>
            <rFont val="Tahoma"/>
            <family val="2"/>
          </rPr>
          <t>fatta variazione del progetto da 24 a 36 mesi e data proroga di 6 mesi con nota 0798 del 31/10/06</t>
        </r>
      </text>
    </comment>
    <comment ref="F7" authorId="1">
      <text>
        <r>
          <rPr>
            <sz val="7"/>
            <rFont val="Tahoma"/>
            <family val="2"/>
          </rPr>
          <t>31-1-06 Verificata la spesa Bisogna ora verificare la doc tecnica</t>
        </r>
      </text>
    </comment>
    <comment ref="I7" authorId="1">
      <text>
        <r>
          <rPr>
            <sz val="8"/>
            <rFont val="Tahoma"/>
            <family val="2"/>
          </rPr>
          <t>Era Raffaele Carucci</t>
        </r>
      </text>
    </comment>
    <comment ref="AF7" authorId="1">
      <text>
        <r>
          <rPr>
            <sz val="8"/>
            <rFont val="Tahoma"/>
            <family val="2"/>
          </rPr>
          <t xml:space="preserve">vecchio indirizzo: Via della Repubblica 71/N 70125 Bari
</t>
        </r>
      </text>
    </comment>
    <comment ref="FS7" authorId="1">
      <text>
        <r>
          <rPr>
            <sz val="8"/>
            <rFont val="Tahoma"/>
            <family val="2"/>
          </rPr>
          <t>richiesta proroga il 2-10-06 e concessa per 30+6 mesi a finire il 1-9-07</t>
        </r>
      </text>
    </comment>
    <comment ref="I8" authorId="1">
      <text>
        <r>
          <rPr>
            <sz val="8"/>
            <rFont val="Tahoma"/>
            <family val="2"/>
          </rPr>
          <t>Era Raffaele Carucci</t>
        </r>
      </text>
    </comment>
    <comment ref="FR8" authorId="3">
      <text>
        <r>
          <rPr>
            <sz val="8"/>
            <rFont val="Tahoma"/>
            <family val="0"/>
          </rPr>
          <t>non concessa proroga su richiesta 15/05/06 in attesa di prima rendicontazione. Concessa proroga al 2-5-07 in data 21-7-06 dopo presentazione rendicontazione</t>
        </r>
      </text>
    </comment>
    <comment ref="FS8" authorId="1">
      <text>
        <r>
          <rPr>
            <sz val="8"/>
            <rFont val="Tahoma"/>
            <family val="2"/>
          </rPr>
          <t>richiesta proroga e concessa per sei mesi</t>
        </r>
      </text>
    </comment>
    <comment ref="FR9" authorId="1">
      <text>
        <r>
          <rPr>
            <sz val="8"/>
            <rFont val="Tahoma"/>
            <family val="0"/>
          </rPr>
          <t xml:space="preserve">manca ma inserita nel Sal
</t>
        </r>
      </text>
    </comment>
    <comment ref="FS9" authorId="1">
      <text>
        <r>
          <rPr>
            <sz val="8"/>
            <rFont val="Tahoma"/>
            <family val="2"/>
          </rPr>
          <t xml:space="preserve">Richiesta proroga il 3-10-06. Concessa con nota del 17/10/2006 di 6 mesi con termine il 10-5-07
</t>
        </r>
      </text>
    </comment>
    <comment ref="F10" authorId="1">
      <text>
        <r>
          <rPr>
            <sz val="7"/>
            <rFont val="Tahoma"/>
            <family val="2"/>
          </rPr>
          <t>31-1-06 Erogata I Sal ma manca la doc tecnica. Vedi nota specifica in archivio e avvia ispezione.</t>
        </r>
      </text>
    </comment>
    <comment ref="FR10" authorId="3">
      <text>
        <r>
          <rPr>
            <b/>
            <sz val="8"/>
            <rFont val="Tahoma"/>
            <family val="0"/>
          </rPr>
          <t>Regione Puglia:</t>
        </r>
        <r>
          <rPr>
            <sz val="8"/>
            <rFont val="Tahoma"/>
            <family val="0"/>
          </rPr>
          <t xml:space="preserve">
Richiesta proroga in data 06/04/2006
concessa con silenzio assenso</t>
        </r>
      </text>
    </comment>
    <comment ref="FS11" authorId="2">
      <text>
        <r>
          <rPr>
            <sz val="8"/>
            <rFont val="Tahoma"/>
            <family val="2"/>
          </rPr>
          <t>Richiesta proroga il 2.2.07 e concessa per 6 mesi al prot 2106 del 12.4.07 sino al 01.12.07</t>
        </r>
      </text>
    </comment>
    <comment ref="FS12" authorId="3">
      <text>
        <r>
          <rPr>
            <sz val="8"/>
            <rFont val="Tahoma"/>
            <family val="2"/>
          </rPr>
          <t xml:space="preserve">Effettuata rimodulazione del pe da 12 mesi a 18 mesi. Concessa proroga di sei mesi sino al 21/01/2007 + proroga straordinaria di ulteriori 2 mesi sino al 30/03/2007
</t>
        </r>
      </text>
    </comment>
    <comment ref="F13" authorId="1">
      <text>
        <r>
          <rPr>
            <sz val="7"/>
            <rFont val="Tahoma"/>
            <family val="2"/>
          </rPr>
          <t>31-1-06 Verificare le attività svolte dal personale dei consorzi se si tratta di sviluppo attività.  Manca RT attvità 3 e PdA attività 5.
PREPARARE DET III SAL</t>
        </r>
      </text>
    </comment>
    <comment ref="FS13" authorId="1">
      <text>
        <r>
          <rPr>
            <sz val="8"/>
            <rFont val="Tahoma"/>
            <family val="2"/>
          </rPr>
          <t xml:space="preserve">Cheista proroga di 6 mesi il 7/2/06 prot. 38/1562 e concessa il 23.3.06 prot 38/2543 sino al 23.5.07
</t>
        </r>
      </text>
    </comment>
    <comment ref="BB14" authorId="1">
      <text>
        <r>
          <rPr>
            <sz val="8"/>
            <rFont val="Tahoma"/>
            <family val="2"/>
          </rPr>
          <t>Era: CNA Regionale Puglia</t>
        </r>
      </text>
    </comment>
    <comment ref="BC14" authorId="1">
      <text>
        <r>
          <rPr>
            <sz val="8"/>
            <rFont val="Tahoma"/>
            <family val="2"/>
          </rPr>
          <t>c/c era: 2469.73
poi era:
3548.86</t>
        </r>
      </text>
    </comment>
    <comment ref="FS14" authorId="1">
      <text>
        <r>
          <rPr>
            <sz val="8"/>
            <rFont val="Tahoma"/>
            <family val="2"/>
          </rPr>
          <t>Concessa proroga di 6 mesi  prot 3719 del 18/06/2007</t>
        </r>
      </text>
    </comment>
    <comment ref="F15" authorId="1">
      <text>
        <r>
          <rPr>
            <sz val="8"/>
            <rFont val="Tahoma"/>
            <family val="2"/>
          </rPr>
          <t>02-03-06: SAL 4,5</t>
        </r>
      </text>
    </comment>
    <comment ref="FS15" authorId="0">
      <text>
        <r>
          <rPr>
            <b/>
            <sz val="8"/>
            <rFont val="Tahoma"/>
            <family val="0"/>
          </rPr>
          <t>.:</t>
        </r>
        <r>
          <rPr>
            <sz val="8"/>
            <rFont val="Tahoma"/>
            <family val="0"/>
          </rPr>
          <t xml:space="preserve">
proroga di 6 mesi richiesta in atti al 38/A1235 del 23/11/06 e concessa sino al 31/09/2007
concessi ulteriori 3 mesi su richiesta del 11,09,07</t>
        </r>
      </text>
    </comment>
    <comment ref="F16" authorId="1">
      <text>
        <r>
          <rPr>
            <sz val="8"/>
            <rFont val="Tahoma"/>
            <family val="2"/>
          </rPr>
          <t>02/03/06: SAL 1,2,3 (unico)
FATTO PREAVVISO DI REVOCA IL 8/2/07 PROT 845 SCADENZA 8/3/07</t>
        </r>
      </text>
    </comment>
    <comment ref="K16" authorId="4">
      <text>
        <r>
          <rPr>
            <b/>
            <sz val="8"/>
            <rFont val="Tahoma"/>
            <family val="0"/>
          </rPr>
          <t>era riportato erroneamente il 63%</t>
        </r>
      </text>
    </comment>
    <comment ref="FR17" authorId="1">
      <text>
        <r>
          <rPr>
            <b/>
            <sz val="8"/>
            <rFont val="Tahoma"/>
            <family val="0"/>
          </rPr>
          <t xml:space="preserve">era indicato il 17/11/04
</t>
        </r>
      </text>
    </comment>
    <comment ref="FS17" authorId="3">
      <text>
        <r>
          <rPr>
            <sz val="8"/>
            <rFont val="Tahoma"/>
            <family val="2"/>
          </rPr>
          <t xml:space="preserve">proroga 6 mesi richiesta il 9.6.06 e concessa sino al 04/08/2007
</t>
        </r>
      </text>
    </comment>
    <comment ref="F18" authorId="1">
      <text>
        <r>
          <rPr>
            <sz val="7"/>
            <rFont val="Tahoma"/>
            <family val="2"/>
          </rPr>
          <t>31-1-06 Non si procede alla erogazione I quota se prima non si mette a posto la doc tecnica. Pronta una nota sul sito e avviata ispezione.</t>
        </r>
      </text>
    </comment>
    <comment ref="FS18" authorId="1">
      <text>
        <r>
          <rPr>
            <sz val="8"/>
            <rFont val="Tahoma"/>
            <family val="2"/>
          </rPr>
          <t>richiesta il 28/08/06 e concessa per 6 mesi sino al 1-6-07</t>
        </r>
      </text>
    </comment>
    <comment ref="FR19" authorId="1">
      <text>
        <r>
          <rPr>
            <b/>
            <sz val="8"/>
            <rFont val="Tahoma"/>
            <family val="0"/>
          </rPr>
          <t>sciacovelli:</t>
        </r>
        <r>
          <rPr>
            <sz val="8"/>
            <rFont val="Tahoma"/>
            <family val="0"/>
          </rPr>
          <t xml:space="preserve">
eichiesta variazione data per refuso informatico</t>
        </r>
      </text>
    </comment>
    <comment ref="FS20" authorId="0">
      <text>
        <r>
          <rPr>
            <b/>
            <sz val="8"/>
            <rFont val="Tahoma"/>
            <family val="0"/>
          </rPr>
          <t>.:</t>
        </r>
        <r>
          <rPr>
            <sz val="8"/>
            <rFont val="Tahoma"/>
            <family val="0"/>
          </rPr>
          <t xml:space="preserve">
richiesta e concessa proroga di sei mesi sino al 01/07/2007 </t>
        </r>
      </text>
    </comment>
    <comment ref="BC21" authorId="1">
      <text>
        <r>
          <rPr>
            <sz val="8"/>
            <rFont val="Tahoma"/>
            <family val="2"/>
          </rPr>
          <t>era c/c '100000011290 e sostituito con nota del 1-12-05 rispetto a quallo della convenzione</t>
        </r>
        <r>
          <rPr>
            <sz val="8"/>
            <rFont val="Tahoma"/>
            <family val="0"/>
          </rPr>
          <t xml:space="preserve">
</t>
        </r>
      </text>
    </comment>
    <comment ref="BI21" authorId="1">
      <text>
        <r>
          <rPr>
            <sz val="8"/>
            <rFont val="Tahoma"/>
            <family val="0"/>
          </rPr>
          <t xml:space="preserve">chiesto meno del 30%
</t>
        </r>
      </text>
    </comment>
    <comment ref="FS21" authorId="1">
      <text>
        <r>
          <rPr>
            <sz val="8"/>
            <rFont val="Tahoma"/>
            <family val="2"/>
          </rPr>
          <t>Richiesta e concessa proroga di 6 mesi al 26-1-07 + modifica cronoprogramma di 4 mesi sino al 26/05/07.
Con prot.3848 del 21/06/07 viene rettificata la durata per un totale di 27 mesi, quindi sino al 26/10/07.</t>
        </r>
      </text>
    </comment>
    <comment ref="FS22" authorId="1">
      <text>
        <r>
          <rPr>
            <sz val="8"/>
            <rFont val="Tahoma"/>
            <family val="2"/>
          </rPr>
          <t>richiesta proroga 6 mesi il 20-10-06 al prot 0927/7-11-06 e concessa per 6 mesi sino al 31-8-07</t>
        </r>
      </text>
    </comment>
    <comment ref="FS23" authorId="1">
      <text>
        <r>
          <rPr>
            <sz val="8"/>
            <rFont val="Tahoma"/>
            <family val="0"/>
          </rPr>
          <t>proroga di 6 mesi con richiesta del 5-09-05
variazione cronoprogramma di 9 mesi fine il 31/12/2006</t>
        </r>
      </text>
    </comment>
    <comment ref="F24" authorId="1">
      <text>
        <r>
          <rPr>
            <sz val="7"/>
            <rFont val="Tahoma"/>
            <family val="2"/>
          </rPr>
          <t xml:space="preserve">31-3-06 deve ancora fare convenzione. Verificare se il proponente non ha mutato ragione sociale.
Preparata letrtera preavviso di revoca </t>
        </r>
      </text>
    </comment>
    <comment ref="FS24" authorId="1">
      <text>
        <r>
          <rPr>
            <sz val="8"/>
            <rFont val="Tahoma"/>
            <family val="2"/>
          </rPr>
          <t xml:space="preserve">In convenzione 15 mesi per la partenza in ritardo.
</t>
        </r>
      </text>
    </comment>
    <comment ref="FS25" authorId="1">
      <text>
        <r>
          <rPr>
            <b/>
            <sz val="8"/>
            <rFont val="Tahoma"/>
            <family val="0"/>
          </rPr>
          <t>sciacovelli:</t>
        </r>
        <r>
          <rPr>
            <sz val="8"/>
            <rFont val="Tahoma"/>
            <family val="0"/>
          </rPr>
          <t xml:space="preserve">
richiesta proroga 6 mesi</t>
        </r>
      </text>
    </comment>
    <comment ref="BH26" authorId="1">
      <text>
        <r>
          <rPr>
            <sz val="8"/>
            <rFont val="Tahoma"/>
            <family val="2"/>
          </rPr>
          <t>Era Milano Assicurazioni Divisione La Previdente, polizza n.2250200820881 del 16/12/2004</t>
        </r>
      </text>
    </comment>
    <comment ref="FS26" authorId="1">
      <text>
        <r>
          <rPr>
            <sz val="8"/>
            <rFont val="Tahoma"/>
            <family val="2"/>
          </rPr>
          <t>concessa proroga 6 mesi prot 983 15/02/07
concessa altra proroga e poi altra al 30/09/08</t>
        </r>
      </text>
    </comment>
    <comment ref="D33" authorId="1">
      <text>
        <r>
          <rPr>
            <sz val="8"/>
            <rFont val="Tahoma"/>
            <family val="2"/>
          </rPr>
          <t>avvio proc revoca il 15.3.06</t>
        </r>
      </text>
    </comment>
    <comment ref="F33" authorId="1">
      <text>
        <r>
          <rPr>
            <sz val="8"/>
            <rFont val="Tahoma"/>
            <family val="2"/>
          </rPr>
          <t>Inviata lettera preavviso di revoca. Ora preparare revoca. Nessuna controdeduzione. Revocato con d.d. 627 del 19/06/2006</t>
        </r>
      </text>
    </comment>
  </commentList>
</comments>
</file>

<file path=xl/comments4.xml><?xml version="1.0" encoding="utf-8"?>
<comments xmlns="http://schemas.openxmlformats.org/spreadsheetml/2006/main">
  <authors>
    <author>Addolorata Salvatore</author>
    <author>sciacovelli</author>
  </authors>
  <commentList>
    <comment ref="Y355" authorId="0">
      <text>
        <r>
          <t/>
        </r>
      </text>
    </comment>
    <comment ref="Y354" authorId="0">
      <text>
        <r>
          <rPr>
            <b/>
            <sz val="8"/>
            <rFont val="Tahoma"/>
            <family val="0"/>
          </rPr>
          <t>8,7 di promozione</t>
        </r>
      </text>
    </comment>
    <comment ref="AH354" authorId="0">
      <text>
        <r>
          <rPr>
            <b/>
            <sz val="8"/>
            <rFont val="Tahoma"/>
            <family val="0"/>
          </rPr>
          <t>8,7 di promozione</t>
        </r>
      </text>
    </comment>
    <comment ref="AH355" authorId="0">
      <text>
        <r>
          <t/>
        </r>
      </text>
    </comment>
    <comment ref="Y363" authorId="0">
      <text>
        <r>
          <rPr>
            <b/>
            <sz val="8"/>
            <rFont val="Tahoma"/>
            <family val="0"/>
          </rPr>
          <t>8,7 di promozione</t>
        </r>
      </text>
    </comment>
    <comment ref="Y364" authorId="0">
      <text>
        <r>
          <t/>
        </r>
      </text>
    </comment>
    <comment ref="AH363" authorId="0">
      <text>
        <r>
          <rPr>
            <b/>
            <sz val="8"/>
            <rFont val="Tahoma"/>
            <family val="0"/>
          </rPr>
          <t>8,7 di promozione</t>
        </r>
      </text>
    </comment>
    <comment ref="AH364" authorId="0">
      <text>
        <r>
          <t/>
        </r>
      </text>
    </comment>
    <comment ref="AR38" authorId="1">
      <text>
        <r>
          <rPr>
            <sz val="8"/>
            <rFont val="Tahoma"/>
            <family val="2"/>
          </rPr>
          <t>rimodulazione aprovata il 15.3.06</t>
        </r>
      </text>
    </comment>
  </commentList>
</comments>
</file>

<file path=xl/comments5.xml><?xml version="1.0" encoding="utf-8"?>
<comments xmlns="http://schemas.openxmlformats.org/spreadsheetml/2006/main">
  <authors>
    <author>Nicola</author>
    <author>sciacovelli</author>
  </authors>
  <commentList>
    <comment ref="T3" authorId="0">
      <text>
        <r>
          <rPr>
            <b/>
            <sz val="8"/>
            <rFont val="Tahoma"/>
            <family val="0"/>
          </rPr>
          <t>già Fabrizio Nardoni</t>
        </r>
      </text>
    </comment>
    <comment ref="T4" authorId="1">
      <text>
        <r>
          <rPr>
            <sz val="8"/>
            <rFont val="Tahoma"/>
            <family val="2"/>
          </rPr>
          <t>Era Luigi Sansò</t>
        </r>
      </text>
    </comment>
    <comment ref="T6" authorId="1">
      <text>
        <r>
          <rPr>
            <sz val="8"/>
            <rFont val="Tahoma"/>
            <family val="2"/>
          </rPr>
          <t>Era Raffaele Carucci</t>
        </r>
      </text>
    </comment>
    <comment ref="T7" authorId="1">
      <text>
        <r>
          <rPr>
            <sz val="8"/>
            <rFont val="Tahoma"/>
            <family val="2"/>
          </rPr>
          <t>Era Raffaele Carucci</t>
        </r>
      </text>
    </comment>
    <comment ref="W6" authorId="1">
      <text>
        <r>
          <rPr>
            <sz val="8"/>
            <rFont val="Tahoma"/>
            <family val="2"/>
          </rPr>
          <t xml:space="preserve">vecchio indirizzo: Via della Repubblica 71/N 70125 Bari
</t>
        </r>
      </text>
    </comment>
  </commentList>
</comments>
</file>

<file path=xl/comments6.xml><?xml version="1.0" encoding="utf-8"?>
<comments xmlns="http://schemas.openxmlformats.org/spreadsheetml/2006/main">
  <authors>
    <author>Nicola</author>
    <author>sciacovelli</author>
    <author>.</author>
    <author>Regione Puglia</author>
  </authors>
  <commentList>
    <comment ref="G44" authorId="0">
      <text>
        <r>
          <rPr>
            <b/>
            <sz val="8"/>
            <rFont val="Tahoma"/>
            <family val="0"/>
          </rPr>
          <t>già Fabrizio Nardoni</t>
        </r>
      </text>
    </comment>
    <comment ref="G53" authorId="1">
      <text>
        <r>
          <rPr>
            <sz val="8"/>
            <rFont val="Tahoma"/>
            <family val="2"/>
          </rPr>
          <t>Era Luigi Sansò</t>
        </r>
      </text>
    </comment>
    <comment ref="G41" authorId="1">
      <text>
        <r>
          <rPr>
            <sz val="8"/>
            <rFont val="Tahoma"/>
            <family val="2"/>
          </rPr>
          <t>Era Raffaele Carucci</t>
        </r>
      </text>
    </comment>
    <comment ref="G14" authorId="1">
      <text>
        <r>
          <rPr>
            <sz val="8"/>
            <rFont val="Tahoma"/>
            <family val="2"/>
          </rPr>
          <t>Era Raffaele Carucci</t>
        </r>
      </text>
    </comment>
    <comment ref="O20" authorId="2">
      <text>
        <r>
          <rPr>
            <b/>
            <sz val="8"/>
            <rFont val="Tahoma"/>
            <family val="0"/>
          </rPr>
          <t>.:</t>
        </r>
        <r>
          <rPr>
            <sz val="8"/>
            <rFont val="Tahoma"/>
            <family val="0"/>
          </rPr>
          <t xml:space="preserve">
concessa proroga fino al 10/11/07
</t>
        </r>
      </text>
    </comment>
    <comment ref="P20" authorId="2">
      <text>
        <r>
          <rPr>
            <b/>
            <sz val="8"/>
            <rFont val="Tahoma"/>
            <family val="0"/>
          </rPr>
          <t>.:</t>
        </r>
        <r>
          <rPr>
            <sz val="8"/>
            <rFont val="Tahoma"/>
            <family val="0"/>
          </rPr>
          <t xml:space="preserve">
concessa ulteriore proroga di 20 gg concessa il 10,10,08
</t>
        </r>
      </text>
    </comment>
    <comment ref="O44" authorId="1">
      <text>
        <r>
          <rPr>
            <sz val="8"/>
            <rFont val="Tahoma"/>
            <family val="2"/>
          </rPr>
          <t>richiesta proroga il 9.8.06 al prot 38/9490 e concessa per 6 mesi sino al 29/10/2007
concessa variazione cronprogramma di 5 mesi a 35 mese + proroga</t>
        </r>
      </text>
    </comment>
    <comment ref="P44" authorId="1">
      <text>
        <r>
          <t/>
        </r>
      </text>
    </comment>
    <comment ref="P53" authorId="1">
      <text>
        <r>
          <rPr>
            <sz val="8"/>
            <rFont val="Tahoma"/>
            <family val="2"/>
          </rPr>
          <t>richiesta proroga il 31.7.07 e concessa per 6 mesi</t>
        </r>
      </text>
    </comment>
    <comment ref="O50" authorId="1">
      <text>
        <r>
          <rPr>
            <sz val="8"/>
            <rFont val="Tahoma"/>
            <family val="2"/>
          </rPr>
          <t>richiesta proroga 29-3-06 ns, prot 2837</t>
        </r>
      </text>
    </comment>
    <comment ref="P50" authorId="1">
      <text>
        <r>
          <rPr>
            <sz val="8"/>
            <rFont val="Tahoma"/>
            <family val="2"/>
          </rPr>
          <t>fatta variazione del progetto da 24 a 36 mesi e data proroga di 6 mesi con nota 0798 del 31/10/06</t>
        </r>
      </text>
    </comment>
    <comment ref="P41" authorId="1">
      <text>
        <r>
          <rPr>
            <sz val="8"/>
            <rFont val="Tahoma"/>
            <family val="2"/>
          </rPr>
          <t>richiesta proroga il 2-10-06 e concessa per 30+6 mesi a finire il 1-9-07</t>
        </r>
      </text>
    </comment>
    <comment ref="O14" authorId="3">
      <text>
        <r>
          <rPr>
            <sz val="8"/>
            <rFont val="Tahoma"/>
            <family val="0"/>
          </rPr>
          <t>non concessa proroga su richiesta 15/05/06 in attesa di prima rendicontazione. Concessa proroga al 2-5-07 in data 21-7-06 dopo presentazione rendicontazione</t>
        </r>
      </text>
    </comment>
    <comment ref="P14" authorId="1">
      <text>
        <r>
          <rPr>
            <sz val="8"/>
            <rFont val="Tahoma"/>
            <family val="2"/>
          </rPr>
          <t>richiesta proroga e concessa per sei mesi</t>
        </r>
      </text>
    </comment>
    <comment ref="O29" authorId="1">
      <text>
        <r>
          <rPr>
            <sz val="8"/>
            <rFont val="Tahoma"/>
            <family val="0"/>
          </rPr>
          <t xml:space="preserve">manca ma inserita nel Sal
</t>
        </r>
      </text>
    </comment>
    <comment ref="P29" authorId="1">
      <text>
        <r>
          <rPr>
            <sz val="8"/>
            <rFont val="Tahoma"/>
            <family val="2"/>
          </rPr>
          <t xml:space="preserve">Richiesta proroga il 3-10-06. Concessa con nota del 17/10/2006 di 6 mesi con termine il 10-5-07
</t>
        </r>
      </text>
    </comment>
    <comment ref="O59" authorId="3">
      <text>
        <r>
          <rPr>
            <b/>
            <sz val="8"/>
            <rFont val="Tahoma"/>
            <family val="0"/>
          </rPr>
          <t>Regione Puglia:</t>
        </r>
        <r>
          <rPr>
            <sz val="8"/>
            <rFont val="Tahoma"/>
            <family val="0"/>
          </rPr>
          <t xml:space="preserve">
Richiesta proroga in data 06/04/2006
concessa con silenzio assenso</t>
        </r>
      </text>
    </comment>
    <comment ref="P56" authorId="0">
      <text>
        <r>
          <rPr>
            <sz val="8"/>
            <rFont val="Tahoma"/>
            <family val="2"/>
          </rPr>
          <t>Richiesta proroga il 2.2.07 e concessa per 6 mesi al prot 2106 del 12.4.07 sino al 01.12.07</t>
        </r>
      </text>
    </comment>
    <comment ref="P4" authorId="3">
      <text>
        <r>
          <rPr>
            <sz val="8"/>
            <rFont val="Tahoma"/>
            <family val="2"/>
          </rPr>
          <t xml:space="preserve">Effettuata rimodulazione del pe da 12 mesi a 18 mesi. Concessa proroga di sei mesi sino al 21/01/2007 + proroga straordinaria di ulteriori 2 mesi sino al 30/03/2007
</t>
        </r>
      </text>
    </comment>
    <comment ref="P5" authorId="1">
      <text>
        <r>
          <rPr>
            <sz val="8"/>
            <rFont val="Tahoma"/>
            <family val="2"/>
          </rPr>
          <t xml:space="preserve">Cheista proroga di 6 mesi il 7/2/06 prot. 38/1562 e concessa il 23.3.06 prot 38/2543 sino al 23.5.07
</t>
        </r>
      </text>
    </comment>
    <comment ref="P38" authorId="1">
      <text>
        <r>
          <rPr>
            <sz val="8"/>
            <rFont val="Tahoma"/>
            <family val="2"/>
          </rPr>
          <t>Concessa proroga di 6 mesi  prot 3719 del 18/06/2007</t>
        </r>
      </text>
    </comment>
    <comment ref="P26" authorId="2">
      <text>
        <r>
          <rPr>
            <b/>
            <sz val="8"/>
            <rFont val="Tahoma"/>
            <family val="0"/>
          </rPr>
          <t>.:</t>
        </r>
        <r>
          <rPr>
            <sz val="8"/>
            <rFont val="Tahoma"/>
            <family val="0"/>
          </rPr>
          <t xml:space="preserve">
proroga di 6 mesi richiesta in atti al 38/A1235 del 23/11/06 e concessa sino al 31/09/2007
concessi ulteriori 3 mesi su richiesta del 11,09,07</t>
        </r>
      </text>
    </comment>
    <comment ref="O32" authorId="1">
      <text>
        <r>
          <rPr>
            <b/>
            <sz val="8"/>
            <rFont val="Tahoma"/>
            <family val="0"/>
          </rPr>
          <t xml:space="preserve">era indicato il 17/11/04
</t>
        </r>
      </text>
    </comment>
    <comment ref="P32" authorId="3">
      <text>
        <r>
          <rPr>
            <sz val="8"/>
            <rFont val="Tahoma"/>
            <family val="2"/>
          </rPr>
          <t xml:space="preserve">proroga 6 mesi richiesta il 9.6.06 e concessa sino al 04/08/2007
</t>
        </r>
      </text>
    </comment>
    <comment ref="P17" authorId="1">
      <text>
        <r>
          <rPr>
            <sz val="8"/>
            <rFont val="Tahoma"/>
            <family val="2"/>
          </rPr>
          <t>richiesta il 28/08/06 e concessa per 6 mesi sino al 1-6-07</t>
        </r>
      </text>
    </comment>
    <comment ref="O47" authorId="1">
      <text>
        <r>
          <rPr>
            <b/>
            <sz val="8"/>
            <rFont val="Tahoma"/>
            <family val="0"/>
          </rPr>
          <t>sciacovelli:</t>
        </r>
        <r>
          <rPr>
            <sz val="8"/>
            <rFont val="Tahoma"/>
            <family val="0"/>
          </rPr>
          <t xml:space="preserve">
eichiesta variazione data per refuso informatico</t>
        </r>
      </text>
    </comment>
    <comment ref="P8" authorId="2">
      <text>
        <r>
          <rPr>
            <b/>
            <sz val="8"/>
            <rFont val="Tahoma"/>
            <family val="0"/>
          </rPr>
          <t>.:</t>
        </r>
        <r>
          <rPr>
            <sz val="8"/>
            <rFont val="Tahoma"/>
            <family val="0"/>
          </rPr>
          <t xml:space="preserve">
richiesta e concessa proroga di sei mesi sino al 01/07/2007 </t>
        </r>
      </text>
    </comment>
    <comment ref="P11" authorId="1">
      <text>
        <r>
          <rPr>
            <sz val="8"/>
            <rFont val="Tahoma"/>
            <family val="2"/>
          </rPr>
          <t>Richiesta e concessa proroga di 6 mesi al 26-1-07 + modifica cronoprogramma di 4 mesi sino al 26/05/07.
Con prot.3848 del 21/06/07 viene rettificata la durata per un totale di 27 mesi, quindi sino al 26/10/07.</t>
        </r>
      </text>
    </comment>
    <comment ref="P35" authorId="1">
      <text>
        <r>
          <rPr>
            <sz val="8"/>
            <rFont val="Tahoma"/>
            <family val="2"/>
          </rPr>
          <t>richiesta proroga 6 mesi il 20-10-06 al prot 0927/7-11-06 e concessa per 6 mesi sino al 31-8-07</t>
        </r>
      </text>
    </comment>
    <comment ref="P3" authorId="1">
      <text>
        <r>
          <rPr>
            <sz val="8"/>
            <rFont val="Tahoma"/>
            <family val="0"/>
          </rPr>
          <t>proroga di 6 mesi con richiesta del 5-09-05
variazione cronoprogramma di 9 mesi fine il 31/12/2006</t>
        </r>
      </text>
    </comment>
    <comment ref="P23" authorId="1">
      <text>
        <r>
          <rPr>
            <sz val="8"/>
            <rFont val="Tahoma"/>
            <family val="2"/>
          </rPr>
          <t xml:space="preserve">In convenzione 15 mesi per la partenza in ritardo.
</t>
        </r>
      </text>
    </comment>
    <comment ref="P2" authorId="1">
      <text>
        <r>
          <rPr>
            <b/>
            <sz val="8"/>
            <rFont val="Tahoma"/>
            <family val="0"/>
          </rPr>
          <t>sciacovelli:</t>
        </r>
        <r>
          <rPr>
            <sz val="8"/>
            <rFont val="Tahoma"/>
            <family val="0"/>
          </rPr>
          <t xml:space="preserve">
richiesta proroga 6 mesi</t>
        </r>
      </text>
    </comment>
    <comment ref="P62" authorId="1">
      <text>
        <r>
          <rPr>
            <sz val="8"/>
            <rFont val="Tahoma"/>
            <family val="2"/>
          </rPr>
          <t>concessa proroga 6 mesi prot 983 15/02/07
concessa altra proroga e poi altra al 30/09/08</t>
        </r>
      </text>
    </comment>
    <comment ref="J50" authorId="2">
      <text>
        <r>
          <rPr>
            <b/>
            <sz val="8"/>
            <rFont val="Tahoma"/>
            <family val="0"/>
          </rPr>
          <t>.:</t>
        </r>
        <r>
          <rPr>
            <sz val="8"/>
            <rFont val="Tahoma"/>
            <family val="0"/>
          </rPr>
          <t xml:space="preserve">
era via Junipero Serra, 19</t>
        </r>
      </text>
    </comment>
    <comment ref="J41" authorId="1">
      <text>
        <r>
          <rPr>
            <sz val="8"/>
            <rFont val="Tahoma"/>
            <family val="2"/>
          </rPr>
          <t xml:space="preserve">vecchio indirizzo: Via della Repubblica 71/N 70125 Bari
</t>
        </r>
      </text>
    </comment>
  </commentList>
</comments>
</file>

<file path=xl/comments7.xml><?xml version="1.0" encoding="utf-8"?>
<comments xmlns="http://schemas.openxmlformats.org/spreadsheetml/2006/main">
  <authors>
    <author>sciacovelli</author>
  </authors>
  <commentList>
    <comment ref="L65" authorId="0">
      <text>
        <r>
          <rPr>
            <sz val="8"/>
            <rFont val="Tahoma"/>
            <family val="0"/>
          </rPr>
          <t xml:space="preserve">dato da ditrani il 15-2-05
</t>
        </r>
      </text>
    </comment>
  </commentList>
</comments>
</file>

<file path=xl/sharedStrings.xml><?xml version="1.0" encoding="utf-8"?>
<sst xmlns="http://schemas.openxmlformats.org/spreadsheetml/2006/main" count="4061" uniqueCount="1484">
  <si>
    <t>1. Le 12 attività sono state confermate, ma la tabella di sintesi riporta un’attività in più denominata “progettazione esecutiva” rispetto alle schede di dettaglio delle attività. Il costo di 5,4 kE viene stralciato e aggiunto all’attività 1 che diviene pertanto di 12,6 k E.
2. L’attività 7 riporta nel costo sw un valore di 800 E che viene riportato a 720 E nelle tabelle finali riepilogative dei costi e che viene assunto come riferimento.
3. L’attività 8 riporta 16 kE di spese generali che vengono ripartite: quanto a 12 kE nella voce infrastrutture e quanto a 4 kE nella voce di spese generali.
4. L’attività 9 prevede 44 kE di spese generali che insieme a quelle dell’attività 8 fanno eccedere le spese generali oltre il 5%. Questa attività è di promozione in quanto prevede la produzione di locandine, manifesti e brochure. Vengono riconosciuti kE 35,8 (invece dei previsti 45,8 kE) dei quali: 20 kE di spese generali e 15,8 kE di consulenza (invece dei soli 1,8 kE previsti e che appaiono scarsi). I restanti 10 kE stralciati dall’attività 9 vengono distribuiti tra le altre attività per le quali non erano stati previsti costi generali. In questo modo l’importo del progetto resta di kE 719,530 come esposto nel progetto esecutivo e, al tempo stesso, le spese generali e i costi di promozione dell’attività 9 restano anche compresi entro il 5% del costo progettuale.
5. La spesa ammessa in via provvisoria, sulla base delle indicazioni riportate nel progetto esecutivo, è pari a kE 719,530, con un contributo regionale di kE 467.694,50.</t>
  </si>
  <si>
    <t>Federazione ordini dottori Agronomi  e  Forestali  di  Puglia</t>
  </si>
  <si>
    <t>602C020007</t>
  </si>
  <si>
    <t>602C020008</t>
  </si>
  <si>
    <t>602C020009</t>
  </si>
  <si>
    <t>602C020015</t>
  </si>
  <si>
    <t>602C020014</t>
  </si>
  <si>
    <t>602C020013</t>
  </si>
  <si>
    <t>Antonveneta, Agenzia di Bari</t>
  </si>
  <si>
    <t>12560L</t>
  </si>
  <si>
    <t>I/04002/05040</t>
  </si>
  <si>
    <t>70125 Bari</t>
  </si>
  <si>
    <t>Via Fanelli 206/10</t>
  </si>
  <si>
    <t>14831-14907</t>
  </si>
  <si>
    <t>15103-15152</t>
  </si>
  <si>
    <t>15491-15508</t>
  </si>
  <si>
    <t>15486-15503</t>
  </si>
  <si>
    <t>18054-18200</t>
  </si>
  <si>
    <t>18060-18206</t>
  </si>
  <si>
    <t>18059-18205</t>
  </si>
  <si>
    <t>18064-18210</t>
  </si>
  <si>
    <t>18063-18209</t>
  </si>
  <si>
    <t>18058-18204</t>
  </si>
  <si>
    <t>Savatore Riccardo Monsellato</t>
  </si>
  <si>
    <t>17033-17167</t>
  </si>
  <si>
    <t>14299-14395</t>
  </si>
  <si>
    <t>spesa collaudata</t>
  </si>
  <si>
    <t>contributo concesso</t>
  </si>
  <si>
    <t>COLLAUDATORI</t>
  </si>
  <si>
    <t>Insediamento</t>
  </si>
  <si>
    <t>INTERNI</t>
  </si>
  <si>
    <t>Ok
Ok 
Ok</t>
  </si>
  <si>
    <t xml:space="preserve">
Ok 
Ok</t>
  </si>
  <si>
    <t>16716-16781</t>
  </si>
  <si>
    <t>Vito Manzari 3403697621 Elsa D'Alo 0805027888 - 3404741396</t>
  </si>
  <si>
    <t>1. Le spese generali sono state riportate entro il 5% e le quote eccedenti sono state attribuite alla voce del personale per ciascuna delle 7 attività.
2. Il contributo regionale è stato elevato al 65% essendo il progetto a dimensione regionale come affermato dallo stesso proponente essendo le aziende partecipanti dislocate su tutto il territorio pugliese.
3. La spesa ammessa in via provvisoria è pari a €  421.350,00 e il contributo riconosciuto è di € 273.877,50</t>
  </si>
  <si>
    <t>Zara</t>
  </si>
  <si>
    <t>J.F. Kennedy</t>
  </si>
  <si>
    <t>Emilio Perrone</t>
  </si>
  <si>
    <t>Associazione Net Business Community Sport Disabili Puglia</t>
  </si>
  <si>
    <t>Associazione Turismo Puglia</t>
  </si>
  <si>
    <t>Corso Roma</t>
  </si>
  <si>
    <t>03337580710</t>
  </si>
  <si>
    <t>03697870750</t>
  </si>
  <si>
    <t>03337590719</t>
  </si>
  <si>
    <t>ASS.I.OLIVI - MULTIMEDIA</t>
  </si>
  <si>
    <t>Aula multimediale</t>
  </si>
  <si>
    <t>Realizzazione del portale</t>
  </si>
  <si>
    <t>1. Sono stati inseriti nel progetto esecutivo alcuni workshop informativi senza indicarne gli importi. Tali spese dovranno comunque essere contenute entro il 5% del costo del progetto.
2. Il quadro tecnico economico del progetto esecutivo viene confermato.</t>
  </si>
  <si>
    <t>1. La spesa ammessa in via provvisoria, sulla base delle informazioni riportate nel progetto esecutivo, è pari a € 793.500,00 con un contributo ammissibile in via provvisoria pari a € 396.750</t>
  </si>
  <si>
    <t>1. Informazione e consulenza territoriale in attività 5 andranno considerate tra le spese per la promozione per k€ 68,10 e restano entro il 5%. Parte dell’attività 7 prevede anche costi di promozione non quantificabili e che comunque a consuntivo non dovranno superare il 5% del costo del progetto.
2. I costi generali per k€ 119,78 eccedono il 5% e vengono ridotti a k€ 86,50.
3. Nel riepilogativo dei costi del progetto esecutivo a pag. 22 sono stati riportati erroneamente i costi esposti nella proposta. Si sono ritenuti validi i costi esposti nelle tabelle di dettaglio alle pag. 37-39.
4. Sulla base dei punti precedenti il costo complessivo ammesso del progetto è di k€ 1.730,560 e il contributo concedibile in via provvisoria è pari a k€ 1.124,864.</t>
  </si>
  <si>
    <t xml:space="preserve">tel 328/8865581 fabio vannella   0881-532420 - paolo di iorio 3471776756 - 3282826119 </t>
  </si>
  <si>
    <t>00594490724</t>
  </si>
  <si>
    <t>FARO - FOGGIA</t>
  </si>
  <si>
    <t>1. Le spese generali eccedono il 5%. I costi vengono ridotti proporzionalmente e riportati entro il 5% a k€ 37,00 dagli iniziali k€ 46,45.
2. Con tali riduzioni la spesa ammessa in via provvisoria a finanziamento è pari a k€ 740,550 invece dei k€ 750,00 esposti nel progetto esecutivo e il contributo concedibile in via provvisoria ammonta a € 481.357,50.</t>
  </si>
  <si>
    <t>@Confeccommercio</t>
  </si>
  <si>
    <t>Test e collaudo</t>
  </si>
  <si>
    <t>Training operatori e gestori CSIAO</t>
  </si>
  <si>
    <t>Promozione e diffusione risultati</t>
  </si>
  <si>
    <t>Start supporto avviamento</t>
  </si>
  <si>
    <t>Dotazione di Base implementazione rete remota Internet-Intranet utenti</t>
  </si>
  <si>
    <t>Dotazione base centrale Wireless ed attivazione rete internet/intranet su base regionale</t>
  </si>
  <si>
    <t>Il Portale WEB degli Agricoltori Pugliesi</t>
  </si>
  <si>
    <t>Treviso</t>
  </si>
  <si>
    <t>1. La spesa ammessa in via provvisoria, sulla base delle informazioni riportate nel progetto esecutivo, è pari a Euro 498.707,00, con un contributo ammissibile in via provvisoria pari a Euro 324.159,55.</t>
  </si>
  <si>
    <t>602C020016</t>
  </si>
  <si>
    <t>602C020017</t>
  </si>
  <si>
    <t>602C020018</t>
  </si>
  <si>
    <t>602C020019</t>
  </si>
  <si>
    <t>602C020020</t>
  </si>
  <si>
    <t>1. La spesa ammessa in via provvisoria a finanziamento, sulla base delle informazioni riportate nel progetto esecutivo, è pari a € 264.052,50 e il contributo regionale ammonta a € 132.026,25.</t>
  </si>
  <si>
    <t>1. Si conferma l’ammissibilità complessiva del quadro economico del progetto esecutivo ad esclusione della voce di spesa costi generali che è stata ammessa per k€ 16,650 contro i k€ 19,000 richiesti dal proponente.
2. La spesa ammessa è pari a k€.333,175 contro i k€335,525 presentato dal proponente e il contributo concesso in via provvisoria di k€ 166,5875.</t>
  </si>
  <si>
    <t>data esecutività</t>
  </si>
  <si>
    <t>CastUeStato</t>
  </si>
  <si>
    <t>CastRegione</t>
  </si>
  <si>
    <t>18/20</t>
  </si>
  <si>
    <t>24/25/26</t>
  </si>
  <si>
    <t>29/06/2004</t>
  </si>
  <si>
    <t>02/07/2004</t>
  </si>
  <si>
    <t>DISPONIBILITA' FONDI</t>
  </si>
  <si>
    <t>TOTALE UE/STATO</t>
  </si>
  <si>
    <t>TOTALE REGIONE</t>
  </si>
  <si>
    <t>CIFRA</t>
  </si>
  <si>
    <t>DEL</t>
  </si>
  <si>
    <t>COD</t>
  </si>
  <si>
    <t>PR.IMP</t>
  </si>
  <si>
    <t>626 NET - CIMO ASMD PUGLIA</t>
  </si>
  <si>
    <t>RESIDUO</t>
  </si>
  <si>
    <t>CONFAPINRETE  - CONFAPI PUGLIA</t>
  </si>
  <si>
    <t>APULIAN INDUSTRIES COMMUNITY - CONFINDUSTRIA PUGLIA</t>
  </si>
  <si>
    <t>12678-12742</t>
  </si>
  <si>
    <t>13745-13766</t>
  </si>
  <si>
    <t>080-5542090 rag. Pinto 349-4469911 - Turturro - Eugenio Leone 3351351451</t>
  </si>
  <si>
    <t>6 SAL</t>
  </si>
  <si>
    <t>13730-13803</t>
  </si>
  <si>
    <t>14450-14531</t>
  </si>
  <si>
    <t>6 SAL - CONTRIBUTO</t>
  </si>
  <si>
    <t>6 SAL - SPESA</t>
  </si>
  <si>
    <t>6 SAL - DA EROGARE</t>
  </si>
  <si>
    <t>6 SAL - UE/Stato</t>
  </si>
  <si>
    <t>6 SAL Reg</t>
  </si>
  <si>
    <t>@SSO_NET - C.N.A. Federazione della Puglia</t>
  </si>
  <si>
    <t>P.ER.SE.O. - URAP CONFARTIGIANATO</t>
  </si>
  <si>
    <t>Francesco Mazzoccoli</t>
  </si>
  <si>
    <t>3239200308089</t>
  </si>
  <si>
    <t>Milano Assicurazioni</t>
  </si>
  <si>
    <t>2001/2002/2003</t>
  </si>
  <si>
    <t>VIRIDIA - AGRONOMI</t>
  </si>
  <si>
    <t>Banca San Paolo Banco di Napoli Filiale Bari 12</t>
  </si>
  <si>
    <t>Via Cardinale Ciasca, 1</t>
  </si>
  <si>
    <t>H/01010/04012</t>
  </si>
  <si>
    <t>Federazine Ordini Dottori Agronomi e Forestali di Puglia</t>
  </si>
  <si>
    <t>LEGACOOP PUGLIA IN RETE - LEGA REGIONALE DELLE COPERATIVE E MUTUE</t>
  </si>
  <si>
    <t>S.C.I.A. - NET -CONFEDERAZIONE ITALIANA AGRICOLTORI</t>
  </si>
  <si>
    <t>HNC - ORDINE DEI MEDICI CHIRURGHI E DEGLI ODONTOIATRI DELLA PROVINCIA DI LECCE</t>
  </si>
  <si>
    <t>ARCH ON-LINE - ASSOCIAZIONE ARCHITETTI, PIANIFICATORI,PAESAGGISTI E CONSERVATORI DI PUGLIA</t>
  </si>
  <si>
    <t>Puglia in Rete - CONFESERCENTI REGIONALE PUGLIESE</t>
  </si>
  <si>
    <t>S.I.T.I. - GALLIPOLI</t>
  </si>
  <si>
    <t>602C020011</t>
  </si>
  <si>
    <t>i_COW - Associazione Regionale Allevatori della Regione Pugliese</t>
  </si>
  <si>
    <t>080-5648762</t>
  </si>
  <si>
    <t>IL PORTALE WEB DEGLI AGRICOLTORI PUGLIESI - UIMEC UIL UNIONE ITALIANA MEZZADRI E COLTIVATORI DIRETTI</t>
  </si>
  <si>
    <t>Geometri2NetPuglia - COLLEGIO DEI GEOMETRI DELLA PROVINCIA DI BARI</t>
  </si>
  <si>
    <t>PUGLIA DOC Net Community - CONSORZIO PUGLIA DOC</t>
  </si>
  <si>
    <t>AVANZARE - COSTELLAZIONE APULIE</t>
  </si>
  <si>
    <t>1. Il WP 6.4 “Diffusione TV” è un’attività di promozione con un costo di k€ 296,013 imputato nelle voci di personale e consulenze dell’attività 6 e incide per oltre il 5% del progetto. Pertanto, tale costo viene stralciato dalle voci di personale e consulenze e riportato quanto a k€ 192,000 tra le attività di promozione, e quanto a k€ 104,013 tra i costi generali che il proponente ha sottostimato all’1,48%, e che passano da k€ 57,000, proposti nell’esecutivo, a k€ 161,013. Il tutto lasciando inalterato l’importo complessivo del progetto pari a k€ 3.845,266, cui risulta ammissibile un contributo provvisorio pari a k€ 2.499,4229.</t>
  </si>
  <si>
    <t>Unione Regionale del Commercio e del Turismo della Puglia</t>
  </si>
  <si>
    <t>SPESA PREVISTA</t>
  </si>
  <si>
    <t>SPESA EFFETTUATA</t>
  </si>
  <si>
    <t>SPESA RESTANTE</t>
  </si>
  <si>
    <t>CONTRIBUTO PREVISTO</t>
  </si>
  <si>
    <t>CONTRIBUTO RESTANTE</t>
  </si>
  <si>
    <t>SPESA EFFETT/SPESA TOTALE</t>
  </si>
  <si>
    <t>TOTALE LIQUIDATO (con antic)</t>
  </si>
  <si>
    <t>CONTRIBUTO SU SPESA</t>
  </si>
  <si>
    <t>CONTRIBUTO SU SPESA / CONTRIBUTO PREVISTO</t>
  </si>
  <si>
    <t>LIQUIDATO SU SAL</t>
  </si>
  <si>
    <t>Puglia On Line - La Business Net Community del sistema Coldiretti Puglia</t>
  </si>
  <si>
    <t>L'attività 5  è diventata attività 4 del progetto esecutivo</t>
  </si>
  <si>
    <t>Le spese delle voci dell'attività 3 e 4 sono state accorpate.L'attività 3 della proposta" produzione della Piattaforma FAD" è stata eliminata ed è diventata  "Attività editoriali ed informative.L'attività 4 del progetto esecutivo è  direzione, coordinamento e diffusione dei risultati</t>
  </si>
  <si>
    <t>Confimprese -Associazione  di Foggia</t>
  </si>
  <si>
    <t>Viale Japigia</t>
  </si>
  <si>
    <t>uncibari@libero.it</t>
  </si>
  <si>
    <t>Largo Giordano Bruno, 53</t>
  </si>
  <si>
    <t>35803</t>
  </si>
  <si>
    <t>Q/04000/07012</t>
  </si>
  <si>
    <t>Monte dei paschi di Siena</t>
  </si>
  <si>
    <t>largo Calvario,2</t>
  </si>
  <si>
    <t>APIMA SALENTO</t>
  </si>
  <si>
    <t>1023400</t>
  </si>
  <si>
    <t>E/01030/79980</t>
  </si>
  <si>
    <t>60346464</t>
  </si>
  <si>
    <t>Aurora Assicurazioni</t>
  </si>
  <si>
    <t>NOTE</t>
  </si>
  <si>
    <t>NO</t>
  </si>
  <si>
    <t>Salvatore Giannaccari</t>
  </si>
  <si>
    <t>587</t>
  </si>
  <si>
    <t>QUOTA PROP CON IVA</t>
  </si>
  <si>
    <t>QUOTA PROPRIA</t>
  </si>
  <si>
    <t>Repertorio Liq. Saldo</t>
  </si>
  <si>
    <t>Data Rep. Saldo</t>
  </si>
  <si>
    <t>COSTO PROGETTO</t>
  </si>
  <si>
    <t>TOT PROGETTO CON IVA</t>
  </si>
  <si>
    <t>CONTRIBUTO PROGETTO</t>
  </si>
  <si>
    <t>confartigianato.puglia@virgilio.it</t>
  </si>
  <si>
    <t>infobari@archiworld.it</t>
  </si>
  <si>
    <t>confapipuglia@libero.it</t>
  </si>
  <si>
    <t>amoruso@danieleamoruso.it</t>
  </si>
  <si>
    <t>ancepgl@tin.it</t>
  </si>
  <si>
    <t>info@ordinemedici-lecce.it</t>
  </si>
  <si>
    <t>info@pugliadoc.net</t>
  </si>
  <si>
    <t>targeda@libero.it</t>
  </si>
  <si>
    <t>apimasalento@libero.it</t>
  </si>
  <si>
    <t>studiomilillo@libero.it</t>
  </si>
  <si>
    <t>carlo.poppa@libero.it</t>
  </si>
  <si>
    <t>602C020022</t>
  </si>
  <si>
    <t>602C020023</t>
  </si>
  <si>
    <t>si</t>
  </si>
  <si>
    <t>602C020024</t>
  </si>
  <si>
    <t>602C020021</t>
  </si>
  <si>
    <t>ENGINEERS VIRTUAL COMMUNITY NETWORK</t>
  </si>
  <si>
    <t>A.O.L.(ASSOPIM ONLINE)</t>
  </si>
  <si>
    <t>08/06/04</t>
  </si>
  <si>
    <t>puglia@confcommercio.it</t>
  </si>
  <si>
    <t>Confinprese - Business Web assistant</t>
  </si>
  <si>
    <t>1. La spesa ammessa in via provvisoria, sulla base delle informazioni riportate nel progetto esecutivo, è pari a € 538.800,00, con un contributo ammissibile in via provvisoria pari a € 350.220,00.</t>
  </si>
  <si>
    <t>confindustriapuglia@confindustriapuglia.it</t>
  </si>
  <si>
    <t>rmarazia@libero.it</t>
  </si>
  <si>
    <t>manzariv@sudsistemi.it</t>
  </si>
  <si>
    <t>c.fonseca@tiscali.it</t>
  </si>
  <si>
    <t>13 SAL</t>
  </si>
  <si>
    <t>13 SAL - SPESA</t>
  </si>
  <si>
    <t>13 SAL - CONTRIBUTO</t>
  </si>
  <si>
    <t>13 SAL - DA EROGARE</t>
  </si>
  <si>
    <t>13 SAL - UE/Stato</t>
  </si>
  <si>
    <t>13 SAL Reg</t>
  </si>
  <si>
    <t>14 SAL</t>
  </si>
  <si>
    <t>14 SAL - SPESA</t>
  </si>
  <si>
    <t>14 SAL - CONTRIBUTO</t>
  </si>
  <si>
    <t>14 SAL - DA EROGARE</t>
  </si>
  <si>
    <t>14 SAL - UE/Stato</t>
  </si>
  <si>
    <t>14 SAL Reg</t>
  </si>
  <si>
    <t>15 SAL</t>
  </si>
  <si>
    <t>15 SAL - SPESA</t>
  </si>
  <si>
    <t>15 SAL - CONTRIBUTO</t>
  </si>
  <si>
    <t>15 SAL - DA EROGARE</t>
  </si>
  <si>
    <t>15 SAL - UE/Stato</t>
  </si>
  <si>
    <t>15 SAL Reg</t>
  </si>
  <si>
    <t>r.rollo@ausl.le.it</t>
  </si>
  <si>
    <t>f.catapano@cia.it</t>
  </si>
  <si>
    <t>gio725@libero.it</t>
  </si>
  <si>
    <t>bari@cng.it</t>
  </si>
  <si>
    <t>15111 - 15209</t>
  </si>
  <si>
    <t>D4/3489F</t>
  </si>
  <si>
    <t>Diana Finanziaria s.p.A.</t>
  </si>
  <si>
    <t>I SAL - UE/Stato</t>
  </si>
  <si>
    <t>ANTICIPAZIONE</t>
  </si>
  <si>
    <t>I SAL - SPESA</t>
  </si>
  <si>
    <t>I SAL - CONTRIBUTO</t>
  </si>
  <si>
    <t>I SAL - DA EROGARE</t>
  </si>
  <si>
    <t>I SAL Reg</t>
  </si>
  <si>
    <t>0020.0844987.14</t>
  </si>
  <si>
    <t>Piazza Mazzini</t>
  </si>
  <si>
    <t>CNA 080-5486931 fax: 080-5486939 - 349 26 97 740 Samanta Di Comite</t>
  </si>
  <si>
    <t>24436-24586</t>
  </si>
  <si>
    <t>25138-25286</t>
  </si>
  <si>
    <t>24435-24585</t>
  </si>
  <si>
    <t>24433-24583</t>
  </si>
  <si>
    <t>25135-25283</t>
  </si>
  <si>
    <t>24432-24582</t>
  </si>
  <si>
    <t>24434-24584</t>
  </si>
  <si>
    <t>26437-26576</t>
  </si>
  <si>
    <t>26947-27136</t>
  </si>
  <si>
    <t>29161-29497</t>
  </si>
  <si>
    <t>27983-28116</t>
  </si>
  <si>
    <t>358-437</t>
  </si>
  <si>
    <t>368-442</t>
  </si>
  <si>
    <t>3955-4034</t>
  </si>
  <si>
    <t>4234-4345</t>
  </si>
  <si>
    <t>4236-4347</t>
  </si>
  <si>
    <t>8193-94-96-8358</t>
  </si>
  <si>
    <t>8733-8844</t>
  </si>
  <si>
    <t>9636-9754</t>
  </si>
  <si>
    <t>100000011290</t>
  </si>
  <si>
    <t>13595-13658</t>
  </si>
  <si>
    <t>B / 01010 / 16400</t>
  </si>
  <si>
    <t>706459891</t>
  </si>
  <si>
    <t>Lloyd Adriatico Spa</t>
  </si>
  <si>
    <t>San Paolo Banco di Napoli</t>
  </si>
  <si>
    <t>Associazione Temporanea di Scopo "Salento Medico HNC"</t>
  </si>
  <si>
    <t>Fondiaria Sai - Ag. Bari Piccinni</t>
  </si>
  <si>
    <t>robertopapadia@tiscali.it</t>
  </si>
  <si>
    <t>e-mail_ref</t>
  </si>
  <si>
    <t>e-mail_ist</t>
  </si>
  <si>
    <t>602C020026</t>
  </si>
  <si>
    <t>Cnalucera@tiscalinet.it</t>
  </si>
  <si>
    <t>602C020025</t>
  </si>
  <si>
    <t>Anticipazione 30%</t>
  </si>
  <si>
    <t>DataConvenzione</t>
  </si>
  <si>
    <t>DataATS</t>
  </si>
  <si>
    <t>DataRichAnticip</t>
  </si>
  <si>
    <t>C/C</t>
  </si>
  <si>
    <t>AntquotaUE/Stato</t>
  </si>
  <si>
    <t>AntquotaReg</t>
  </si>
  <si>
    <t>Banca</t>
  </si>
  <si>
    <t xml:space="preserve">Indirizzo Banca </t>
  </si>
  <si>
    <t>CINCABABI</t>
  </si>
  <si>
    <t>Rappresentante</t>
  </si>
  <si>
    <t>Cittàbanca</t>
  </si>
  <si>
    <t>Banca DEL MONTE DI FOGGIA</t>
  </si>
  <si>
    <t>B/15702/7535</t>
  </si>
  <si>
    <t>71100 Foggia</t>
  </si>
  <si>
    <t xml:space="preserve">Associazione Interprovinciale Olivicoltori  Puglia </t>
  </si>
  <si>
    <t>Npolizza</t>
  </si>
  <si>
    <t>IstitutoFid</t>
  </si>
  <si>
    <t>Datapolizza</t>
  </si>
  <si>
    <t>V.le Leopardi 158</t>
  </si>
  <si>
    <t>000086016812</t>
  </si>
  <si>
    <t>96/60346462</t>
  </si>
  <si>
    <t>SPESA RIMODULATA O DICHIARATA A FINE</t>
  </si>
  <si>
    <t>Aurora Assicurazioni SPA</t>
  </si>
  <si>
    <t>C/16002/03456</t>
  </si>
  <si>
    <t xml:space="preserve">S.Matarrese </t>
  </si>
  <si>
    <t>AnnoUE/Stato</t>
  </si>
  <si>
    <t>AnnoRegione</t>
  </si>
  <si>
    <t>2/O</t>
  </si>
  <si>
    <t>Banca Meridiana- Filiale di Bari</t>
  </si>
  <si>
    <t>R/04000/05787</t>
  </si>
  <si>
    <t>San Remo S.p.A.</t>
  </si>
  <si>
    <t>Società Reale Mutua di Assicurazione</t>
  </si>
  <si>
    <t>CIMO asmd  Puglia</t>
  </si>
  <si>
    <t xml:space="preserve">Federazione Regionale Ordini Provinciali Ingegneri Puglia </t>
  </si>
  <si>
    <t>CON.TE.S.T.-TARANTO</t>
  </si>
  <si>
    <t>602C020027</t>
  </si>
  <si>
    <t>Convenzione</t>
  </si>
  <si>
    <t>SI</t>
  </si>
  <si>
    <t>Realizzazione di infrastrutture e nodi, connettività, videoconferenza, servizi specialistici: Servizi di Human Resource Management, Georeferenzazione aziende, Banca dati del sapere, monitorggio di forme di lavoro innovative, informazioni finanziarie, e-consulting,servizi per il marketing territoriale, Banca dati investire in Puglia, legislazine, e-learning, monitoraggio ICT, sperimentazione modelli B2B</t>
  </si>
  <si>
    <t>RETE UNITARIA - BRINDISI</t>
  </si>
  <si>
    <t>22874-23108</t>
  </si>
  <si>
    <t>infrastrutture e nodi, servizi di supporto alla comunicazione e cooperazione, servizio interpèrovicnciale domanda-offerta di alvoro, internaie, promozione e marketing, e-commerce, nuovi servizi:appalti, capitolati, SOA, sportello unico edilizia, disponibilità di banche dati di settore: tecniche e materiali, servizi relaitiva alla gestine del personale delle aziende, realizzazione di 6 opere su sicurezza e salute, ambiente e salvaguardia Qualità, gestione e certifiazione, managemeent e gestione risorse umane, procudure di appalto, restauto conservativo e architettonico (tutti per il settore edile), e-learning ed e-consulting.</t>
  </si>
  <si>
    <t>Realizzaione di un portale web: news appuntamenti, convenzini, mailing list, forum, segnalazioni, ricerche, link e altri servizi alle consociate, cenntro servizi operatore mobile (sms) per interrogazioni banche dati, m_commerce, sondaggi, Accessibilità vocale al protale, video consulenza</t>
  </si>
  <si>
    <t xml:space="preserve">Intranet regionale, siti web per confapi e api provinciali, servizio IT di Osservatorio permanente", servizio "Go international" per l'internazinalizzaizone delle pmi, servizi informativi e di "intelligence" a supporto dell'innovazione delle imprese, servizi di auto-diagnosi finanziaria, promozione e sensibilizazione.Area di consulenza: sindacale, fiscale, tributaria, ambientale, legale, creditizia, </t>
  </si>
  <si>
    <t>via Amendola 120</t>
  </si>
  <si>
    <t>M/04000/03226</t>
  </si>
  <si>
    <t>15488-15505</t>
  </si>
  <si>
    <t>15492-15510</t>
  </si>
  <si>
    <t>783</t>
  </si>
  <si>
    <t>785</t>
  </si>
  <si>
    <t>Situazione imprese e professioni a settembre 2006</t>
  </si>
  <si>
    <t>Nome Proponente</t>
  </si>
  <si>
    <t>Nome Progetto</t>
  </si>
  <si>
    <t>Date</t>
  </si>
  <si>
    <t>Durata progetto in mesi</t>
  </si>
  <si>
    <t>Situazione a settembre 2006</t>
  </si>
  <si>
    <t>Documentazione Tecnica Trasmessa</t>
  </si>
  <si>
    <t>Personale</t>
  </si>
  <si>
    <t>Altre voci</t>
  </si>
  <si>
    <t>inizio</t>
  </si>
  <si>
    <t>fine</t>
  </si>
  <si>
    <t>progetto</t>
  </si>
  <si>
    <t>proroga</t>
  </si>
  <si>
    <t>tot. mesi  (a)</t>
  </si>
  <si>
    <t>mesi  trascorsi  (b)</t>
  </si>
  <si>
    <t>% tempo  (b/a)</t>
  </si>
  <si>
    <t>% spesa effettuata / tot. spesa progetto</t>
  </si>
  <si>
    <t>Relazione SAL quadrimestrale</t>
  </si>
  <si>
    <t>Piano Dettagliato di Attuazione</t>
  </si>
  <si>
    <t>Rapporto Tecnico</t>
  </si>
  <si>
    <t>wp.1; wp.2; wp.4; wp.6</t>
  </si>
  <si>
    <t>nessuno</t>
  </si>
  <si>
    <t>Unione Regionale dell'Artigianato e della Piccola Impresa Pugliese (U.R.A.P.)</t>
  </si>
  <si>
    <t>11 SAL</t>
  </si>
  <si>
    <t>Valore dell'investimento</t>
  </si>
  <si>
    <t>11 SAL - SPESA</t>
  </si>
  <si>
    <t>11 SAL - CONTRIBUTO</t>
  </si>
  <si>
    <t>11 SAL - DA EROGARE</t>
  </si>
  <si>
    <t>11 SAL - UE/Stato</t>
  </si>
  <si>
    <t>11 SAL Reg</t>
  </si>
  <si>
    <t>Banca Monte dei Paschi di Siena</t>
  </si>
  <si>
    <t>P.zza Matteotti 2</t>
  </si>
  <si>
    <t>Confimprese Foggia</t>
  </si>
  <si>
    <t>78440/10300</t>
  </si>
  <si>
    <t>Il progetto si è concluso con una rendicontazione ammessa pari al 99% ed erogata per il 79% rispetto agli importi previsti. La parte IVA, pur essendo stata rendicontata non è stata ammessa,</t>
  </si>
  <si>
    <t xml:space="preserve">    IN ATTESA AVVIO</t>
  </si>
  <si>
    <t xml:space="preserve">    REVOCATO</t>
  </si>
  <si>
    <t xml:space="preserve">Creazione di un Portale Intranet integrato, interattivo e abilitante, che promuova la fidelizzazione degli associati/utenti, una loro più attiva partecipazione alla vita associativa, l’erogazione capillare e personalizzata di servizi qualificati. Il soggetto proponente si impegna a dotare da subito l’intera rete associativa di un’infrastruttura di base e generale finalizzata ad erogare, anche in modalità on-line, i cosiddetti “servizi istituzionali” rivolti a tutti gli associati; e quindi, in una specifica fase di sperimentazione, di “incubare” una business net-community di tipo avanzato intorno ad alcuni, selezionati servizi innovativi.
In particolare, il Portale prevederà le seguenti tre macro aree di servizi:
§ Area di Knowledge: Community (Forum, Frequently Asked Questions, Poll &amp; Survey, Agenda Eventi), Content &amp; Document Management;
§ Area di Gestione degli Associati: Database dei soci e dell’utenza e relativo Profiling, Newsletter, Report e Statistiche associative, Datawarehousing, Marketing Associativo;
§ Area di E-Business: Vetrina, Sportello sull’E-Business, Marketplace, Banca conoscenze/competenze.
L’iniziativa prevede l’espressa adesione alla rete RUPAR della Regione Puglia, progetto in fase di conclusione, per un’univoca ed omogenea trasmissione dei dati e per la certezza delle informazioni trasmesse.
</t>
  </si>
  <si>
    <t>15825 - 15878</t>
  </si>
  <si>
    <t>15826 - 15879</t>
  </si>
  <si>
    <t>15827 - 15880</t>
  </si>
  <si>
    <t>16158 - 16294</t>
  </si>
  <si>
    <t>16160 - 16295</t>
  </si>
  <si>
    <t>16164-16301</t>
  </si>
  <si>
    <t>16165-16307</t>
  </si>
  <si>
    <t>16169-16311</t>
  </si>
  <si>
    <t>16213-16350</t>
  </si>
  <si>
    <t>17392-17491</t>
  </si>
  <si>
    <t>18650-18769</t>
  </si>
  <si>
    <t>18678-18798</t>
  </si>
  <si>
    <t>Assopim 080.3113982 tel e FAX 080.3115200 Sig.ra Martimucci Lucia 3495051557 e  Mangiatordi Michele consul assopim cel 3283604899. Consorzio PROAPI dott.ssa Martucci Paola 338,2786349 / 080-5741940 Martino Carlo pres: 080-3103858</t>
  </si>
  <si>
    <t xml:space="preserve">Sergio Annese 347-6830666 - Manlio Cassandro 0883-534045 - 335-6277101 ARA 080/4054482 </t>
  </si>
  <si>
    <t>Amendolara 3357211774 - 080-5482805 Dott. Mariani - Consulente Loiudice/Gioia 0805026505 - 3355622109 - nuovo numero 0805010600</t>
  </si>
  <si>
    <t>Amendolara 3357211774 - Consulente Loiudice/Gioia 0805026505- nuovo numero 0805010600</t>
  </si>
  <si>
    <t>reiscritto/impegnato e liquidato</t>
  </si>
  <si>
    <t>Pis 14</t>
  </si>
  <si>
    <t>LIQUIDATO SU SAL
(Mandati)</t>
  </si>
  <si>
    <t xml:space="preserve">Il progetto prevede: a) la progettazione e realizzazione di un Portale Regionale degli Ingegneri, con aree specifiche per i 5 Ordini Provinciali e per la Federazione Regionale degli Ordini, per la regolamentazione dell’esercizio della professione ingegneristica; b) la realizzazione di un’infrastruttura telematica di supporto al funzionamento dei servizi, costituita da un Centro Servizi, dove saranno allocati i server necessari alla gestione delle banche dati e degli applicativi utilizzabili via web e gestiti in modalità A.S.P. (Application Service Provider), e da una virtual community network  (VCN) estesa a tutto il territorio regionale ed accessibile tramite normali connessioni dial up e connessioni broadband; c) la produzione e redazione dei contenuti della banche dati, relative a Normative (comunitarie, nazionali, regionali), Regolamenti, Giurisprudenza e Letteratura tecnica; d) la progettazione e sviluppo del sistema di workflow per la consultazione guidata delle informazioni e la gestione delle attività previste dalle note pratiche; e) l’attivazione della virtual community  ed in particolare degli strumenti cooperativi (quali  forum, aree condivisione di informazione, rooms di discussione riservate e di condivisione di specifici workflow per singoli progetti o pratiche) ed informativi (quali newsletter o canali tematici); f) la realizzazione delle “porte” per il collegamento alle procedure di e-government delle Amministrazioni Locali; g) l’addestramento degli utenti ed affiancamento degli Ordini Provinciali per lo start up del sistema. </t>
  </si>
  <si>
    <t>MIR LIQUIDAZIONE</t>
  </si>
  <si>
    <t>MOS@IC - MAGLIE</t>
  </si>
  <si>
    <t>1449</t>
  </si>
  <si>
    <t>W / 41650 / 07093</t>
  </si>
  <si>
    <t>Federazione Regionale Ordini degli Ingegneri di Puglia</t>
  </si>
  <si>
    <t>Franco Catapano 3357375013 Wanda Pucci 3472955747 0805616025</t>
  </si>
  <si>
    <t>4236-4318</t>
  </si>
  <si>
    <t>9302-9389</t>
  </si>
  <si>
    <t>D'Ambrosio  080-5289753 fax 5220665 / Paola Stifanelli 0832-443900 - 339-8767417</t>
  </si>
  <si>
    <t>La proposta riguarda: servizi di base, volti a diffondere informazione e collaborazione on-line;
- servizi di formazione a distanza per l’ECM; 
- servizi avanzati, di tipo specialistico, per la sperimentazione e la diffusione di sistemi innovativi a supporto della comunità sanitaria (Evidence Based Medicine), ottimizzazione di risorse in ambito ospedaliero ecc
Gli obiettivi intermedi sono:
- sensibilizzazione della comunità sanitaria locale all’uso della net-community
- estensione e miglioramento dell’infrastruttura di rete
- fornitura di nuovi servizi quali: e-mail, mailing list, newsgroup, FAQ, conferenze on-line, telemedicina, servizi avanzati per l’ottimizzazione dell’uso delle risorse sanitarie e lo sviluppo di Evidence Based Medicine;
Gli obiettivi finali sono la massimizzare del livello di diffusione delle informazioni sanitarie ai cittadini ed alle imprese/operatori, per consentire l’accesso e l’utilizzo appropriato delle strutture e dei servizi del SSR e per migliorare l’interazione e cooperazione operativa/istituzionale tra i vari soggetti coinvolti nel sistema.</t>
  </si>
  <si>
    <t>Il Progetto ha lo scopo di offrire al sistema della Zootecnia Pugliese una piattaforma informatica e telematica per attuare una informatizzazione che permette la classificazione e il miglioramento delle razze bovine, attraverso una sinergia congiunta fra le azioni previste dal bando della SI.
Obiettivo strategico è la creazione del vortal “i-Cow” dedicato alla SELEZIONE DEL BESTIAME.Nello specifico gli obiettivi restano quelli di realizzare una pervasiva circolazione della conoscenza attraverso la forza della tecnologia per dare ai sistemi produttivi territoriali una rete di relazioni multidirezionali in grado di affrontare un mercato sempre più competitivo e particolarmente agguerrito. 1.200 associati ARA</t>
  </si>
  <si>
    <t>Intestazione</t>
  </si>
  <si>
    <t>C.I.A. DI PUGLIA POR PUGLIA MISURA 6.2.AZIONE C</t>
  </si>
  <si>
    <t>CIMO ASMD REGIONE PUGLIA</t>
  </si>
  <si>
    <t>Salvatore Matarrese</t>
  </si>
  <si>
    <t>968-1068</t>
  </si>
  <si>
    <t>Il Progetto intende sfruttare al meglio l'esperienza acquisita dalla CIA percorrendo e supportando una nuova cultura associativa attraverso un sistema interno di servizi informativi e telematici pienamente interattivo, in grado di coinvolgere l’azienda agricola nello svolgimento di una parte del processo. Il Progetto, quindi, vede l’agricoltore nel ruolo di fruitore dei servizi che quello di soggetto che partecipa  implementare i contenuti del processo.
Il Progetto prevede la creazione di un portale per il settore agricolo particolarmente interessato all’impiego di nuovi strumenti di comunicazione ed informazione soprattutto in termini di assistenza tecnica alla produzione.I Servizi realizzati sono:1. Servizi telematici per l'espletamento in rete di pratiche previdenziali, fiscali e tributarie e per la gestione aziendale, in particolare per ricevere i  finanziamenti destinati dalla Pac-Politica Agricola Comune;2. Informazioni costanti sui servizi e comunicazioni interne tra l'impresa agricola e la propria organizzazione;3. Informazione costante sulle normative e nuovi finanziamenti;4. Informazioni aggiornate sull'assistenza tecnica per la produzione e commercializzazioneGli obiettivi intermedi sono:- Il recupero del divario con gli altri settori;- un rapporto efficace e trasparente con la P.A.; - fare sistema creando maggiori flussi di comunicazione tra aziende agricole e ricevere servizi più vicini  e a più basso costo.
Gli obiettivi finali sono:- Presentare ed esporre della struttura associativa regionale;- Informare l'opinione pubblica;- Effettuare ricerche di mercato  e di marketing: - Creare una piattaforma informativa interna: (45.000 anagrafiche soci, di costituire 12-15.000 fascicoli aziendali e di stimolare l'interattività  di 5.000 imprese agricole) per fornire un supporto all’associato; - Aggiornamenti e formazione permanente: la - Groupware: - Acquisire dati e servizi dal portale nazionale: - Outsourcing: -Creazione di una banca dati che crea  rapporti con la Pubblica Amministrazione</t>
  </si>
  <si>
    <t>n.b.: non è possibile erogare un saldo in quanto la spesa è stata certificata dopo il 30/06/09.</t>
  </si>
  <si>
    <t>&lt;--------------</t>
  </si>
  <si>
    <t>5543</t>
  </si>
  <si>
    <t>Via Roma s.n.</t>
  </si>
  <si>
    <t>Putignano (BA)</t>
  </si>
  <si>
    <t>Associazione Regionale Allevatori della Regione Puglia</t>
  </si>
  <si>
    <t>000005359005</t>
  </si>
  <si>
    <t>5544</t>
  </si>
  <si>
    <t>URAP Confartigianato</t>
  </si>
  <si>
    <t>5537</t>
  </si>
  <si>
    <t>5541</t>
  </si>
  <si>
    <t>5542</t>
  </si>
  <si>
    <t>Totale</t>
  </si>
  <si>
    <t>DAUNIA VALLEY CARLANTINO</t>
  </si>
  <si>
    <t>8 SAL</t>
  </si>
  <si>
    <t>8 SAL - SPESA</t>
  </si>
  <si>
    <t>8 SAL - CONTRIBUTO</t>
  </si>
  <si>
    <t>8 SAL - DA EROGARE</t>
  </si>
  <si>
    <t>8 SAL - UE/Stato</t>
  </si>
  <si>
    <t>8 SAL Reg</t>
  </si>
  <si>
    <t>in ragioneria</t>
  </si>
  <si>
    <t>IT78 R057 8704 0000 0157 0006946</t>
  </si>
  <si>
    <t>COSTO PROGETTO CON IVA</t>
  </si>
  <si>
    <t>Il progetto è finalizzato all’organizzazione e realizzazione di una piattaforma tecnologica per il sostegno di processi innovativi di sviluppo dei sistemi locali.Il progetto intende definire e realizzare una piattaforma tecnologica caratterizzata da:· Un sistema di gestione della conoscenza per il reperimento in rete e l’organizzazione dinamica di dati rilevanti ai fini dello sviluppo locale;· Un sistema di supporto alle decisioni e di strumenti di analisi delle dinamiche di sviluppo locale;· Un sistema di servizi innovativi orientati sia alla dimensione di community sia alle PMI della rete @sso_net, coerenti con le tecnologie di stato dell’arte disponibili nel mercato informatico attuale;· Un sistema di Back Office per erogare servizi alla comunità virtuale, basato su un nuovo modello di relazioni inter ed extra associative. 
Ha tre finalità:· potenziare l’infrastruttura di rete telematica regionale (in parte già esistente) ed implementare tecnologie e servizi che abilitino la comunicazione digitale e lo svolgimento on line dei servizi e  dei processi di lavoro tra le strutture territoriali della CNA;· finalizzare l’infrastruttura tecnologica ed i servizi alla relazione fra le strutture CNA  e le Imprese, favorendo la crescita ed il miglioramento del livello qualitativo dei servizi erogati dalle strutture territoriali verso i sistemi produttivi locali;· introdurre e sperimentare un insieme di servizi innovativi, fortemente basati sulle tecnologie della Società dell’Informazione, in grado di sostenere e favorire le capacità di business e i processi di sviluppo ed innovazione delle PMI associate e più in generale delle imprese artigiane, in relazione all’evolversi della domanda espressa dai principali sistemi produttivi territoriali e più in generale dai processi di crescita economica e competitiva dei differenti sistemi locali.</t>
  </si>
  <si>
    <t>080-3112628 cell D'Ambrosio Paola 3401425097- Rag. Angiulli Raffaele 080-3264253 3383897167</t>
  </si>
  <si>
    <t>Teresa Guarnieri 3358060907</t>
  </si>
  <si>
    <t>080-3149656</t>
  </si>
  <si>
    <t>Antonio Dell'Aquila</t>
  </si>
  <si>
    <t>19050-19208</t>
  </si>
  <si>
    <t>19047-19205</t>
  </si>
  <si>
    <t>19045-19203</t>
  </si>
  <si>
    <t>19279-19538</t>
  </si>
  <si>
    <t>confesercentipuglia@libero.it</t>
  </si>
  <si>
    <t>Chiarelli Giuseppe 080 5210425 fax 080-5283311 Loiudice Maria Luisa 080 5026505 Maria Teresa Gigante 0805210425</t>
  </si>
  <si>
    <t>Il progetto, nel segno dell’innovazione, punta alla realizzazione di una “business net-community” degli operatori turistici, dell’enogastronomia e dei produttori locali associati al Consorzio “Puglia Doc” con l’obiettivo sia di favorire la valorizzazione del patrimonio di conoscenze sia di promuovere lo sviluppo di relazioni di cooperazione più ampie e qualificate. La “business net-community” sarà in grado di comunicare ed interagire con qualsiasi punto della rete, di favorire un’ampia circolazione della conoscenza e di esprimere le necessità delle imprese attraverso la creazione di un insieme di relazioni multidirezionali in grado di affrontare tematiche specifiche.
Servizi alle imprese (area riservata): 
- Forum di discussione specialistici + esperto 
- Chat (dialogo in tempo reale tra le aziende) 
- assistenza a distanza in tempo reale 
- piattaforma e-learning ad alto contenuto tecnologico
-  videoconferenza (banda larga: da Adsl in su);
- area news (area finanziamenti, area internazionalizzazione, area guide e monografie, newsletter, articoli);
- area istituzionali (chi siamo, come aderire, statuto, contatti, ecc.);
- area consulenza e assistenza 
Questi servizi sono destinati alle imprese appartenenti al Consorzio Puglia Doc e a tutte quelle che vi aderiscono. 
 Servizi agli utenti 
-   area commercio elettronico (acquisto prodotti on line);
-   area informativa sul Consorzio (archivio aziende);
-   area informativa sulle risorse turistiche della Regione Puglia.
    Area dedicata alla Provincia di Lecce e ai suoi sistemi produttivi locali</t>
  </si>
  <si>
    <t>via Amendola n. 205/3</t>
  </si>
  <si>
    <t>PROGETTI PILOTA</t>
  </si>
  <si>
    <t>SPESA TOTALE AMMESSA RIMODUL</t>
  </si>
  <si>
    <t>Il progetto proposto vuole dotare l’A.A.P.P.C. di Puglia di un sistema informativo, basato su una infrastruttura di rete Internet/Intranet, che assicuri a tutti gli iscritti la collaborazione, lo scambio, la condivisione e la divulgazione delle informazioni, competenze, dati, documenti e metodologie, attraverso un accesso rapido, semplice e senza vincoli di tempo/spazio.
La soluzione proposta concentra e distribuisce funzionalità, servizi ed applicazioni da un Remote Data Center verso gli utenti attraverso Web.
In particolare, il progetto prevede, oltre all’implementazione dei servizi già disponibili sul sito Archiworld (attività di segreteria, pubblicazione di norme, delibere e comunicazioni, eventi, incontri, concorsi, calendario delle iniziative, convegni, ecc.) la messa a disposizione di strumenti capaci di ampliare gli interessi di quanti sono coinvolti, a vario livello, nei processi di trasformazione del territorio.</t>
  </si>
  <si>
    <t>repertorioant</t>
  </si>
  <si>
    <t>datarepertorioant</t>
  </si>
  <si>
    <t>15633 - 15722</t>
  </si>
  <si>
    <t xml:space="preserve">Pietro Salcuni 0804054482 - 4054788 - 4934192 fax uguale </t>
  </si>
  <si>
    <t>ara.puglia@tiscali.it</t>
  </si>
  <si>
    <t>ced@apaba.it, annese@icow.it</t>
  </si>
  <si>
    <t>8218-8278</t>
  </si>
  <si>
    <t>7946-8044</t>
  </si>
  <si>
    <t>8151-8213</t>
  </si>
  <si>
    <t>IN GIALLO=ALLA FIRMA O ATTESA MANDATO</t>
  </si>
  <si>
    <t>ESCUSSIONE POLIZZA IL 12/11/2007</t>
  </si>
  <si>
    <t>Dich. Chiusura</t>
  </si>
  <si>
    <t>x</t>
  </si>
  <si>
    <t>Questo programma ha come obiettivi la Diffusione della Conoscenza nella Comunità dei Cittadini, attraverso :
La sensibilizzazione di massa sull’uso delle tecnologie dell’informazione e della comunicazione per favorirne la più ampia diffusione a livello locale;
L’ accesso pubblico ad Internet attraverso la creazione di luoghi e centri di accesso generalizzato;
L’ abbattimento delle barriere alla diffusione dell’ICT con attivazione di servizi nelle scuole per favorire la riduzione dei costi di connessione ad internet;
Il potenziamento dell’offerta di prodotti didattici con realizzazione di prodotti e servizi per la didattica, la formazione a distanza in scuole, PMI, sportelli comunali ecc.
La realizzazione di Iniziative rivolte a  sostegno del terzo settore e dell'economia sociale
Il sostegno delle identità e dei sistemi di impresa locali, attraverso:
La sperimentazione del marketing e del commercio elettronico;
La realizzazione di reti di imprese per l’aggregazione di imprese;
La realizzazione di nuove forme di organizzazione della produzione per favorire l’innovazione dei processi e l’organizzazione e gestione della produzione;
Lo sviluppo dell’industria dei contenuti volte a favorire la creazione di nuove attività imprenditoriali nel settore dell’ICT (Information &amp; Communication Technology) con i soggetti possessori di contenuti (università, musei, centri di produzione culturali,PA);
La realizzazione di applicazioni multimediali ed ICT a servizio dei beni culturali con riferimento alla creazione di musei virtuali, stand e mostre virtuali, chioschi multimediali, ecc.)</t>
  </si>
  <si>
    <t>080-5228037</t>
  </si>
  <si>
    <t>Arch Lastilla Michele 3921152191 Vito Micunco 0805367848 3355844895 conf: tel e fax 0805228037 Persona di riferimento: Assunta Pistolese 347-0766580</t>
  </si>
  <si>
    <t>Arch Lastilla Michele 3921152191 Vito Micunco 0805367848 335584489 5 conf: tel e fax 0805228037 Persona di riferimento: Assunta Pistolese 347-0766580- 335-5844895 Vito Micunco</t>
  </si>
  <si>
    <t>IT50C0345616002000086016812</t>
  </si>
  <si>
    <t>19875-19999</t>
  </si>
  <si>
    <t>19865-19989</t>
  </si>
  <si>
    <t>19866-19990</t>
  </si>
  <si>
    <t>IT98F0701204000000000035803</t>
  </si>
  <si>
    <t xml:space="preserve">Partendo dall’analisi dei fabbisogni informativi delle aziende associate che hanno aderito al progetto (n. 100 aziende dislocate su tutto il territorio pugliese) si vuole creare una piattaforma telematica sulla quale sviluppare un portale Web di servizi interattivi specifici per le aziende del settore agricolo che abbia caratteristiche di accessibilità, usabilità e navigabilità e crei le condizioni per la costruzione di una business net-community organizzata secondo regole ed obiettivi condivisi e in grado di incidere positivamente sui livelli di innovazione e di competitività dell’intero sistema economico agricolo, e da stimolo per domanda e offerta (e-commerce). </t>
  </si>
  <si>
    <t>Il progetto prevede:
1. realizzazione di una Intranet fra gli associati
2. realizzazione di un Portale Internet dell'associazione
3. attivazione, sulla Intranet, di servizi informativi di base e servizi sperimentali di            commercializzazione on-line
4. accompagnamento all'uso dei nuovi strumenti effettuata anche mediante piattaforme di e-learning.
L’obiettivo generale della presente proposta progettuale è utilizzare le ICT per favorire il processo di modernizzazione, riorganizzazione e innalzamento degli standard qualitativi in atto; diffondere cioè, presso le aziende associate, la conoscenza e l'uso delle nuove tecnologie (PC, reti, Internet, Intranet, etc) rendendole strumentali alla crescita di ogni singola azienda nel suo mercato di riferimento e, contemporaneamente, funzionali alla nascita di una identità associativa quale primo passo verso una più stretta collaborazione nella produzione e nella commercializzazione</t>
  </si>
  <si>
    <t>0152077070640</t>
  </si>
  <si>
    <t>FONDIARIA SAI</t>
  </si>
  <si>
    <t>602C020032</t>
  </si>
  <si>
    <t>602C020031</t>
  </si>
  <si>
    <t>Business Web Assistant - CONFIMPRESE FOGGIA</t>
  </si>
  <si>
    <t>Attesa</t>
  </si>
  <si>
    <t>602C020033</t>
  </si>
  <si>
    <t>602C020034</t>
  </si>
  <si>
    <t>602C020035</t>
  </si>
  <si>
    <t>602C020036</t>
  </si>
  <si>
    <t>Cosimo Fonseca</t>
  </si>
  <si>
    <t>federazioneingegneri@ingpuglia.it</t>
  </si>
  <si>
    <t>686</t>
  </si>
  <si>
    <t>Il progetto intende costruire, tra le PMI pugliesi, un sistema di collaborazione che incentivi le opportunità offerte dall’uso delle "esternalità positive". Le esternalità positive sono l'effetto dell'azione dei soggetti economici appartenenti alla rete sul benessere di altri soggetti non coinvolti, se non per via indiretta, nel relativo processo di business.
L'intervento mira, attraverso una flessibile piattaforma tecnologica ed un innovativo modello organizzativo, a stimolare comportamenti interaziendali che, nell'ambito delle attività ordinarie di business, creino benessere alle PMI consorziate, ai soggetti terzi e di riflesso al territorio di appartenenza. Il progetto rappresenta un luogo ideale per sperimentare nuovi strumenti e servizi che favoriscono le relazioni multidirezionali stimolando la creatività di tutti i soggetti della rete.
Il principale obiettivo del progetto consiste nell’indirizzare con maggiore profitto ed utilità sociale le energie usualmente impiegate o impiegabili dagli individui e dalle organizzazioni a margine del normale svolgimento dei processi di business.
In quest’ambito un pilastro fondante del progetto risulta la realizzazione di un clima cooperativo tra le PMI, essenziale per consentire la creazione, l’utilizzo e lo scambio di attività in assenza di veri e propri compensi finanziari.
Gli strumenti che presumibilmente si andranno ad utilizzare saranno i telefoni cellulari e la rete Internet. In particolare, sarà realizzato un sito (portale) per la gestione della comunità, nel quale convergeranno i sistemi software basati sulle diverse tecnologie utili a costruire il modello di funzionamento della rete.</t>
  </si>
  <si>
    <t>Proponente</t>
  </si>
  <si>
    <t>Nome progetto</t>
  </si>
  <si>
    <t>PERS</t>
  </si>
  <si>
    <t>CONSUL</t>
  </si>
  <si>
    <t>LICENZE</t>
  </si>
  <si>
    <t>SW</t>
  </si>
  <si>
    <t>NOL0 LEASING</t>
  </si>
  <si>
    <t>INFRAST</t>
  </si>
  <si>
    <t>SPESA TOTALE AMMESSA</t>
  </si>
  <si>
    <t>SPESA TOTALE PROPOSTA</t>
  </si>
  <si>
    <t>Attività</t>
  </si>
  <si>
    <t>%</t>
  </si>
  <si>
    <t>Delta</t>
  </si>
  <si>
    <t>Note</t>
  </si>
  <si>
    <t>SPESA TOTALE ESECUTIVO</t>
  </si>
  <si>
    <t>COSTI GEN 5%</t>
  </si>
  <si>
    <t>PROMOZIONE 5%</t>
  </si>
  <si>
    <t>LEGACOOP PUGLIA IN RETE</t>
  </si>
  <si>
    <t>AMMESSI</t>
  </si>
  <si>
    <t>TOTALE</t>
  </si>
  <si>
    <t xml:space="preserve"> </t>
  </si>
  <si>
    <t>CODICE</t>
  </si>
  <si>
    <t>ok</t>
  </si>
  <si>
    <t>P.ER.SE.O</t>
  </si>
  <si>
    <t>A01</t>
  </si>
  <si>
    <t>IT26P0504004002000001248331</t>
  </si>
  <si>
    <t>Cristofaro Perilli</t>
  </si>
  <si>
    <t>Sanpaolo Banco di Napoli</t>
  </si>
  <si>
    <t>Via Abate Gimma, 101</t>
  </si>
  <si>
    <t>27/26818</t>
  </si>
  <si>
    <t>L/04000/01010</t>
  </si>
  <si>
    <t>EK021145</t>
  </si>
  <si>
    <t>Consorzio Finanziario Comasco</t>
  </si>
  <si>
    <t>A02</t>
  </si>
  <si>
    <t>A11</t>
  </si>
  <si>
    <t>A12</t>
  </si>
  <si>
    <t>A13</t>
  </si>
  <si>
    <t>A14</t>
  </si>
  <si>
    <t>A15</t>
  </si>
  <si>
    <t>A16</t>
  </si>
  <si>
    <t>A17</t>
  </si>
  <si>
    <t>A18</t>
  </si>
  <si>
    <t>A19</t>
  </si>
  <si>
    <t>A21</t>
  </si>
  <si>
    <t>A22</t>
  </si>
  <si>
    <t>A23</t>
  </si>
  <si>
    <t>A24</t>
  </si>
  <si>
    <t>A25</t>
  </si>
  <si>
    <t>A26</t>
  </si>
  <si>
    <t>A27</t>
  </si>
  <si>
    <t>A31</t>
  </si>
  <si>
    <t>A32</t>
  </si>
  <si>
    <t>A33</t>
  </si>
  <si>
    <t>A34</t>
  </si>
  <si>
    <t>A35</t>
  </si>
  <si>
    <t>A36</t>
  </si>
  <si>
    <t>A37</t>
  </si>
  <si>
    <t>A38</t>
  </si>
  <si>
    <t>A39</t>
  </si>
  <si>
    <t>A310</t>
  </si>
  <si>
    <t>A311</t>
  </si>
  <si>
    <t>A312</t>
  </si>
  <si>
    <t>A313</t>
  </si>
  <si>
    <t>2=tolti 30 per tv e messi in prom</t>
  </si>
  <si>
    <t>9=tolit 4 ke per seminari divulgativi in promozione
2=tolti 11,4 ke per 10 seminari divulgativi</t>
  </si>
  <si>
    <t>CRISED</t>
  </si>
  <si>
    <t>SOFTWARE</t>
  </si>
  <si>
    <t>APIMA - AGRO-NET</t>
  </si>
  <si>
    <t>m/u proposta</t>
  </si>
  <si>
    <t>m/u esecutivo</t>
  </si>
  <si>
    <t>LEGACOOP</t>
  </si>
  <si>
    <t>4.1</t>
  </si>
  <si>
    <t>4.2</t>
  </si>
  <si>
    <t>4.3</t>
  </si>
  <si>
    <t>4.4</t>
  </si>
  <si>
    <t>4.5</t>
  </si>
  <si>
    <t>4.6</t>
  </si>
  <si>
    <t>4.7</t>
  </si>
  <si>
    <t>4.8</t>
  </si>
  <si>
    <t>4.9</t>
  </si>
  <si>
    <t>4.10</t>
  </si>
  <si>
    <t>4.11</t>
  </si>
  <si>
    <t>4.12</t>
  </si>
  <si>
    <t>4.13</t>
  </si>
  <si>
    <t>4.14</t>
  </si>
  <si>
    <t>4.15</t>
  </si>
  <si>
    <t>5.1</t>
  </si>
  <si>
    <t>5.2</t>
  </si>
  <si>
    <t>5.3</t>
  </si>
  <si>
    <t>5.4</t>
  </si>
  <si>
    <t>5.5</t>
  </si>
  <si>
    <t>5.6</t>
  </si>
  <si>
    <t>5.7</t>
  </si>
  <si>
    <t>5.8</t>
  </si>
  <si>
    <t>5.9</t>
  </si>
  <si>
    <t>5.10</t>
  </si>
  <si>
    <t>5.11</t>
  </si>
  <si>
    <t>5.12</t>
  </si>
  <si>
    <t>5.13</t>
  </si>
  <si>
    <t>6</t>
  </si>
  <si>
    <t>APULIAN INDUSTRIES COMMUNITY</t>
  </si>
  <si>
    <t>CONFINDUSTRIA</t>
  </si>
  <si>
    <t>Gestione del progetto</t>
  </si>
  <si>
    <t>Analisi dei fabbisogni informativi</t>
  </si>
  <si>
    <t>Progettazione e realizzazione di piattaforme telematiche</t>
  </si>
  <si>
    <t>Sperimentazione di Servizi di Human Resource Management – nodo di servizio della territoriale di Bari</t>
  </si>
  <si>
    <t>Georeferenzazione delle aziende – nodo di servizio della territoriale di Bari</t>
  </si>
  <si>
    <t>Sviluppo della banca del sapere - nodo di servizio della territoriale di Bari</t>
  </si>
  <si>
    <t>Erogazione di servizi di e-consulting in una comunità virtuale - nodo di servizio della territoriale di Bari</t>
  </si>
  <si>
    <t>Agente di ricerca a supporto della finanza agevolata - nodo di servizio della territoriale di Bari</t>
  </si>
  <si>
    <t>Servizi di GATEWAY  - nodo di servizio della territoriale di Bari</t>
  </si>
  <si>
    <t>SERIVIZI A VALORE AGGIUNTO - nodo di servizio della territoriale di Brindisi</t>
  </si>
  <si>
    <t>SPERIMENTAZIONI - nodo di servizio della territoriale di Brindisi</t>
  </si>
  <si>
    <t>Servizi di e-consulting  - nodo di servizio della territoriale di Foggia</t>
  </si>
  <si>
    <t>Autovalutazione - nodo di servizio della territoriale di Lecce</t>
  </si>
  <si>
    <t>Benchmarking  - nodo di servizio della territoriale di Lecce</t>
  </si>
  <si>
    <t>42582478</t>
  </si>
  <si>
    <t>Aurora assicurazioni</t>
  </si>
  <si>
    <t>TOTALE DISIMPEGNO</t>
  </si>
  <si>
    <t>DI CUI
DA DISIMPEGNARE</t>
  </si>
  <si>
    <t>SPESA COLLAUDATA</t>
  </si>
  <si>
    <t>CONTRIBUTO EROGABILE</t>
  </si>
  <si>
    <t>RECUPERI</t>
  </si>
  <si>
    <t>CONTRIBUTO EROGATO
 SU SPESA</t>
  </si>
  <si>
    <t>Ok
Ok
Ok</t>
  </si>
  <si>
    <t>IT60N0103004000000004341677</t>
  </si>
  <si>
    <t>93000270723 / 05305040726</t>
  </si>
  <si>
    <t>Assopim 080.3113982 tel e FAX 080.3115200 Sig.ra Martimucci Lucia 3495051557 e  Mangiatordi Michele consul assopim cel 3283604899. Consorzio PROAPI dott.ssa Martucci Paola 080-5741940 Martino Carlo pres: 080-3103858</t>
  </si>
  <si>
    <t>totale contributo dato</t>
  </si>
  <si>
    <t>luiquidato mir</t>
  </si>
  <si>
    <t>7 SAL</t>
  </si>
  <si>
    <t>7 SAL - SPESA</t>
  </si>
  <si>
    <t>7 SAL - CONTRIBUTO</t>
  </si>
  <si>
    <t>7 SAL - DA EROGARE</t>
  </si>
  <si>
    <t>7 SAL - UE/Stato</t>
  </si>
  <si>
    <t>7 SAL Reg</t>
  </si>
  <si>
    <t>Realizzazione dei servizi specialistici e di supporto alla comunicazione e alla coperazione - - nodo di servizio della territoriale di Taranto</t>
  </si>
  <si>
    <t>Banca dati Investire in Puglia</t>
  </si>
  <si>
    <t>Banca dati Legislazione attività regionali</t>
  </si>
  <si>
    <t>Banca dati Stampa e comunicazione esterna</t>
  </si>
  <si>
    <t>Accordo di cooperazione scientifica e tecnologica con Università di Bari e Politecnico - nodo di gestione della territoriale di Bari</t>
  </si>
  <si>
    <t>Sperimentazione servizi di e-learning - nodo di gestione della territoriale di Bari</t>
  </si>
  <si>
    <t>Studio di fattibilità Start-UP - nodo di gestione della territoriale di Bari</t>
  </si>
  <si>
    <t>Monitoraggio mercato ICT - nodo di gestione della territoriale di Bari</t>
  </si>
  <si>
    <t>Best practice business to business - nodo di gestione della territoriale di Bari</t>
  </si>
  <si>
    <t>Sostegno alla comunità - nodo di gestione della territoriale di Bari</t>
  </si>
  <si>
    <t>Sostegno alla comunità - nodo di gestione della territoriale di Brindisi</t>
  </si>
  <si>
    <t>Sostegno alla comunità - nodo di gestione della territoriale di Foggia</t>
  </si>
  <si>
    <t>Servizi di Base – qualità – finanza agevolata –ricerca e sviluppo - nodo di gestione della territoriale di Foggia</t>
  </si>
  <si>
    <t>MED - nodo di gestione della territoriale di Foggia</t>
  </si>
  <si>
    <t>e.business: Market places e Marketing aziendale - nodo di gestione della territoriale di Lecce</t>
  </si>
  <si>
    <t>e-learning: formazione a distanza - nodo di gestione della territoriale di Lecce</t>
  </si>
  <si>
    <t>Predisposizione delle condizioni di base che favoriscano l’accesso e l’utilizzo delle piattaforme - nodo di gestione della territoriale di Taranto</t>
  </si>
  <si>
    <t>Promozione dell’utilizzo delle piattaforme e dei servizi predisposti</t>
  </si>
  <si>
    <t>CONFAPINRETE</t>
  </si>
  <si>
    <t>eVCN</t>
  </si>
  <si>
    <t>ammessi per 191,525</t>
  </si>
  <si>
    <t>1.1</t>
  </si>
  <si>
    <t>1.2</t>
  </si>
  <si>
    <t>1.3</t>
  </si>
  <si>
    <t>1.4</t>
  </si>
  <si>
    <t>IT48 R 03069 04049 615219036684</t>
  </si>
  <si>
    <t>1.5</t>
  </si>
  <si>
    <t>1.6</t>
  </si>
  <si>
    <t>2.1</t>
  </si>
  <si>
    <t>2.2</t>
  </si>
  <si>
    <t>2.3'</t>
  </si>
  <si>
    <t>2.4</t>
  </si>
  <si>
    <t>2.5</t>
  </si>
  <si>
    <t>3.1</t>
  </si>
  <si>
    <t>3,2</t>
  </si>
  <si>
    <t>3.3</t>
  </si>
  <si>
    <t>3.4</t>
  </si>
  <si>
    <t>3.5</t>
  </si>
  <si>
    <t>0.1</t>
  </si>
  <si>
    <t>E-COOP</t>
  </si>
  <si>
    <t>analisi iniziale</t>
  </si>
  <si>
    <t>connettività</t>
  </si>
  <si>
    <t>piatt telematica</t>
  </si>
  <si>
    <t>val. prod. Biol</t>
  </si>
  <si>
    <t>sensib e prom</t>
  </si>
  <si>
    <t>supp verif. Servizi</t>
  </si>
  <si>
    <t>direz coord</t>
  </si>
  <si>
    <t>serv cons assoc</t>
  </si>
  <si>
    <t>hw/sw netw</t>
  </si>
  <si>
    <t>ex form/ora assis</t>
  </si>
  <si>
    <t>speri. Fad/ora Sper</t>
  </si>
  <si>
    <t>CIMO-626 NET</t>
  </si>
  <si>
    <t>Delta-esec</t>
  </si>
  <si>
    <t>Delta su proposta</t>
  </si>
  <si>
    <t>Banca di credito Coopertivo di Bari</t>
  </si>
  <si>
    <t>HNC ORD MEDICI</t>
  </si>
  <si>
    <t>PIATT E-LEARNING</t>
  </si>
  <si>
    <t>Programmazione, gestione, scheduling e amministratzine del progetto</t>
  </si>
  <si>
    <t>Analisi, fabbisogni di servizi informativi e consulenziali per aziende, analisi e implementazione infrastrutture ICT</t>
  </si>
  <si>
    <t>Sperimentazione formativa: 4 figure professionali, 5 corsi.</t>
  </si>
  <si>
    <t>Testing, debugging e finalizzazione dei centri risorse</t>
  </si>
  <si>
    <t>mainstreaming e sostenibilità delle infrastrutture</t>
  </si>
  <si>
    <t>Pers*consul superano 80%</t>
  </si>
  <si>
    <t>la v deve essere 85,9</t>
  </si>
  <si>
    <t>2.3</t>
  </si>
  <si>
    <t>3.1.1</t>
  </si>
  <si>
    <t>3.1.2</t>
  </si>
  <si>
    <t>3.1.3</t>
  </si>
  <si>
    <t>FARMACISTI NET</t>
  </si>
  <si>
    <t>Cod</t>
  </si>
  <si>
    <t>CONSORZIO PUGLIA DOC</t>
  </si>
  <si>
    <t xml:space="preserve">2 SAL </t>
  </si>
  <si>
    <t xml:space="preserve">1 SAL </t>
  </si>
  <si>
    <t>2 SAL - SPESA</t>
  </si>
  <si>
    <t>2 SAL - CONTRIBUTO</t>
  </si>
  <si>
    <t>2 SAL - DA EROGARE</t>
  </si>
  <si>
    <t>2 SAL - UE/Stato</t>
  </si>
  <si>
    <t>2 SAL Reg</t>
  </si>
  <si>
    <t>CNA-@asso_net</t>
  </si>
  <si>
    <t>Delta su esecutivo</t>
  </si>
  <si>
    <t>Puglia in Rete</t>
  </si>
  <si>
    <t>Federazione Ordini Ingegneri Puglia</t>
  </si>
  <si>
    <t>Analisi ex ante iniziativa</t>
  </si>
  <si>
    <t>Analisi fabbisogni CONFESERCENTI</t>
  </si>
  <si>
    <t>Realizzazione del Content &amp; Document management</t>
  </si>
  <si>
    <t>Realizzazione servizi E-Business</t>
  </si>
  <si>
    <t>Realizzazione servizi gestione associati</t>
  </si>
  <si>
    <t>Hosting startup piattaforma</t>
  </si>
  <si>
    <t>Azione promozione comunicazione</t>
  </si>
  <si>
    <t>Sperimentazione</t>
  </si>
  <si>
    <t>Analisi ex-post del progetto</t>
  </si>
  <si>
    <t>Coordinamento progetto</t>
  </si>
  <si>
    <t>St. prel. Dei fabbisogni informativi delle aziende assopim</t>
  </si>
  <si>
    <t>Attivazione borsa lavoro per webmaster del portale ASSOPIM</t>
  </si>
  <si>
    <t>Realizzazione infrastruttura hardware (nodo centrale)</t>
  </si>
  <si>
    <t>Promozione progetto A.O.L.</t>
  </si>
  <si>
    <t>Realizzazione dei nodi centrali</t>
  </si>
  <si>
    <t>Progettazione, sviluppo e test finali del SW del portale ASSOPIM</t>
  </si>
  <si>
    <t>Formazione Utenti e config. Dei nodi client-Nel Progetto esecutivo viene definita costituzione NO)</t>
  </si>
  <si>
    <t>Costituzione nucleo operativo centrale per implementazione e manutenzione del portale-Aggiornamento portale</t>
  </si>
  <si>
    <t>Aggiornamento dei contenuti-gestione a regime del portale</t>
  </si>
  <si>
    <t>Messa a regime del portale e manutenzione-Promozione Portale</t>
  </si>
  <si>
    <t>Rilevazione del feedback su efficacia ed efficienza e necessità dei nuovi servizi-Progettazione nuovi servizi</t>
  </si>
  <si>
    <t>Progettazione ed implementazione di nuovi servizi del portale ASSOPIM</t>
  </si>
  <si>
    <t>15557-15618</t>
  </si>
  <si>
    <t>variazione tra i partner e non nelle voci</t>
  </si>
  <si>
    <t>Messa a regime definitiva del portale ASSOPIM e manutenzione</t>
  </si>
  <si>
    <t>ARCH ON-LINE</t>
  </si>
  <si>
    <t>Project Management</t>
  </si>
  <si>
    <t>Technical Management</t>
  </si>
  <si>
    <t>Realizzazione</t>
  </si>
  <si>
    <t>Test e Collaudo</t>
  </si>
  <si>
    <t>Assistenza e supporto operatori e gestori</t>
  </si>
  <si>
    <t>Promozione e diffusione dei risultati</t>
  </si>
  <si>
    <t>Start up e supporto avviamento</t>
  </si>
  <si>
    <t>Progettazione Socio-Organizzativa della Comunità</t>
  </si>
  <si>
    <t>Analisi  modelli comportamentali individui e organizzazioni</t>
  </si>
  <si>
    <t>34/2003</t>
  </si>
  <si>
    <t>Avviamento,monitoraggio Validazione rete</t>
  </si>
  <si>
    <t>Definizione modello di autosostenibilità iniziativa</t>
  </si>
  <si>
    <t>Disseminazione e promozione</t>
  </si>
  <si>
    <t>INCOM - UNIONE REGIONALE  COMMERCIO E TURISMO PUGLIA</t>
  </si>
  <si>
    <t>Banca di Credito Cooperative dell'Alta Murgia - Sede Altamura</t>
  </si>
  <si>
    <t>Piazza Zanardelli</t>
  </si>
  <si>
    <t>Altamura (Ba)</t>
  </si>
  <si>
    <t>UIMEC-UIL-Unione Italiana Mezzadri e Coltivatori Diretti</t>
  </si>
  <si>
    <t>01/01788/03</t>
  </si>
  <si>
    <t>C/41330/00756</t>
  </si>
  <si>
    <t>non è stato accolto  il suggerimento del valutatore di abbattere il costo del personale di almeno il 30%</t>
  </si>
  <si>
    <t>Non è stato accolto il suggerimento del valutatore di abbattere il costo di almeno il 70%</t>
  </si>
  <si>
    <t>geometri2netpuglia</t>
  </si>
  <si>
    <t>Analisi fabbisogni informativi</t>
  </si>
  <si>
    <t>Unicredit Banca d'impresa</t>
  </si>
  <si>
    <t>12037-12164</t>
  </si>
  <si>
    <t>12165-12038</t>
  </si>
  <si>
    <t>9752-9796</t>
  </si>
  <si>
    <t>9842-10051</t>
  </si>
  <si>
    <t>11754-11910</t>
  </si>
  <si>
    <t>Monte dei Paschi di Siena</t>
  </si>
  <si>
    <t>Via Nicolò dell'Arca,22</t>
  </si>
  <si>
    <t>Banca Popolare Pugliese</t>
  </si>
  <si>
    <t>Via Vittorio Emanuele</t>
  </si>
  <si>
    <t>Otranto</t>
  </si>
  <si>
    <t>progettazione e realizzazioni piattaforme telematiche</t>
  </si>
  <si>
    <t>Promozione dell'utilizzo delle piattaforme e dei serviziproposti</t>
  </si>
  <si>
    <t xml:space="preserve">Il costo della voce  risulta superiore ai normali parametri per il tempo uomo impiegato </t>
  </si>
  <si>
    <t>il costo della consulenza per l'attività 5 risulta superiore alle tariffe gg/uomo ammessa nel bando</t>
  </si>
  <si>
    <t>ASSOPIM A.O.L</t>
  </si>
  <si>
    <t>AVANZARE_Costellazione apulia</t>
  </si>
  <si>
    <t>PugliaDoc</t>
  </si>
  <si>
    <t>FARMACISTI NETWORK</t>
  </si>
  <si>
    <t>@SSO_NET</t>
  </si>
  <si>
    <t>626 NET</t>
  </si>
  <si>
    <t>i-COW</t>
  </si>
  <si>
    <t>S.C.I.A. - NET</t>
  </si>
  <si>
    <t>AGRO-NET</t>
  </si>
  <si>
    <t>HNC</t>
  </si>
  <si>
    <t>datapresprog</t>
  </si>
  <si>
    <t>protesec</t>
  </si>
  <si>
    <t>dataprotesec</t>
  </si>
  <si>
    <t>Business Web Assistant</t>
  </si>
  <si>
    <t>ASS.I.OLIVI-MULTIMEDIA</t>
  </si>
  <si>
    <t>puglia@cna.it</t>
  </si>
  <si>
    <t>Il portale WEB degli agricoltori pugliesi</t>
  </si>
  <si>
    <t>Analisi fabbisogni</t>
  </si>
  <si>
    <t>Formazione di base</t>
  </si>
  <si>
    <t>ITRIA2NET - MARTINA FRANCA</t>
  </si>
  <si>
    <t>MURGIA NET - GIOIA DEL COLLE</t>
  </si>
  <si>
    <t>Formazione specialistica mirata,videoconferenza e e.learning-Gestione e aggiornamento del portale WEB)</t>
  </si>
  <si>
    <t>Gestione e aggiornamento portale-Strategie di comunicazione e promozione</t>
  </si>
  <si>
    <t>Strategie di comunicazione e promozione-Attività di monitoraggio del programma</t>
  </si>
  <si>
    <t>Promozione del portale AOL-Feedback servizi esistenti</t>
  </si>
  <si>
    <t>Turismo Puglia Onlus</t>
  </si>
  <si>
    <t>Progr.</t>
  </si>
  <si>
    <t>Fin.</t>
  </si>
  <si>
    <t>nomeproponente</t>
  </si>
  <si>
    <t>nomeprogetto</t>
  </si>
  <si>
    <t>costoprogetto</t>
  </si>
  <si>
    <t>perccontrpub</t>
  </si>
  <si>
    <t>var</t>
  </si>
  <si>
    <t>van1</t>
  </si>
  <si>
    <t>personale</t>
  </si>
  <si>
    <t>impprog</t>
  </si>
  <si>
    <t>Iva</t>
  </si>
  <si>
    <t>ContrIva</t>
  </si>
  <si>
    <t>QuotaUE/Stato</t>
  </si>
  <si>
    <t>QuotaReg</t>
  </si>
  <si>
    <t>città</t>
  </si>
  <si>
    <t>prov</t>
  </si>
  <si>
    <t>via</t>
  </si>
  <si>
    <t>numero</t>
  </si>
  <si>
    <t>cap</t>
  </si>
  <si>
    <t>codfisc</t>
  </si>
  <si>
    <t>modifica</t>
  </si>
  <si>
    <t>Punteggio</t>
  </si>
  <si>
    <t>Confindustria Puglia</t>
  </si>
  <si>
    <t>Apulian Industries Community</t>
  </si>
  <si>
    <t>è elevabile al</t>
  </si>
  <si>
    <t>05/02/2003</t>
  </si>
  <si>
    <t>30/01/2004</t>
  </si>
  <si>
    <t>0403</t>
  </si>
  <si>
    <t>Bari</t>
  </si>
  <si>
    <t>Ba</t>
  </si>
  <si>
    <t>N. Tridente</t>
  </si>
  <si>
    <t>1. Si conferma il piano tecnico-economico presentato nel progetto esecutivo,</t>
  </si>
  <si>
    <t>engineers Virtual Community Network</t>
  </si>
  <si>
    <t>0386</t>
  </si>
  <si>
    <t>Lecce</t>
  </si>
  <si>
    <t>Le</t>
  </si>
  <si>
    <t>********</t>
  </si>
  <si>
    <t>1. I costi generali sono stati sovradimensionati e si riducono per congruità da 444,700 keuro a 178 keuro per contenerli entro il 5%.
2. Il costo del progetto indicato congruo dal valutatore viene ammesso con una riduzione per congruità sulle spese genera</t>
  </si>
  <si>
    <t>IT03Q0103004011000000024996</t>
  </si>
  <si>
    <t>Ordine dei Medici Chirurghi e degli Odontoiatri della Provincia di Lecce</t>
  </si>
  <si>
    <t>è del</t>
  </si>
  <si>
    <t>0385</t>
  </si>
  <si>
    <t>Nazario Sauro</t>
  </si>
  <si>
    <t>Associazione Regionale Allevatori della Regione Pugliese</t>
  </si>
  <si>
    <t>0395</t>
  </si>
  <si>
    <t>Putignano</t>
  </si>
  <si>
    <t>San Nicola</t>
  </si>
  <si>
    <t>Confederazione Italiana Agricoltori - Associazione Regionale di Puglia</t>
  </si>
  <si>
    <t>0396</t>
  </si>
  <si>
    <t xml:space="preserve"> SPESA</t>
  </si>
  <si>
    <t>CONTRIBUTO</t>
  </si>
  <si>
    <t>COMUNITA</t>
  </si>
  <si>
    <t>STATO</t>
  </si>
  <si>
    <t>QUOTA  UE/STATO</t>
  </si>
  <si>
    <t>QUOTA  REG</t>
  </si>
  <si>
    <t>Matarrese</t>
  </si>
  <si>
    <t xml:space="preserve">1. Il progetto esecutivo non riporta la distribuzione della spesa per voce di costo ma solo per partner. Prima della concessione del finanziamento è necessario produrre la tabella dei costi di progetto con la suddivisine secondo le voci di costo previste </t>
  </si>
  <si>
    <t>C.N.A. Federazione della Puglia</t>
  </si>
  <si>
    <t>04/04/2004</t>
  </si>
  <si>
    <t>4180</t>
  </si>
  <si>
    <t>Consorzio Puglia Doc</t>
  </si>
  <si>
    <t>PUGLIA DOC Net Community</t>
  </si>
  <si>
    <t>0393</t>
  </si>
  <si>
    <t>Ugo Foscolo</t>
  </si>
  <si>
    <t>03332940752</t>
  </si>
  <si>
    <t>Associazione degli Architetti, Pianificatori, Paesaggisti e Conservatori della Puglia</t>
  </si>
  <si>
    <t>ARCH On-Line</t>
  </si>
  <si>
    <t>12/02/2004</t>
  </si>
  <si>
    <t>0615</t>
  </si>
  <si>
    <t>Japigia</t>
  </si>
  <si>
    <t>Turismo Puglia OnLus</t>
  </si>
  <si>
    <t>0595</t>
  </si>
  <si>
    <t>Ritaccstato</t>
  </si>
  <si>
    <t>Ritaccreg</t>
  </si>
  <si>
    <t>Uimec-UIL-Unione Italiana Mezzadri e Coltivatori Diretti</t>
  </si>
  <si>
    <t>03/03/2004</t>
  </si>
  <si>
    <t>Altamura</t>
  </si>
  <si>
    <t>05966640723</t>
  </si>
  <si>
    <t>Associazione Pugliese Imprese di Meccanizzazione Agroindustriale</t>
  </si>
  <si>
    <t>0391</t>
  </si>
  <si>
    <t>Lequile</t>
  </si>
  <si>
    <t>San Pietro in Lama</t>
  </si>
  <si>
    <t>Confesercenti Regionale Pugliese</t>
  </si>
  <si>
    <t>Puglia In Rete</t>
  </si>
  <si>
    <t>0389</t>
  </si>
  <si>
    <t>Consorzio Costellazione Apulia</t>
  </si>
  <si>
    <t>Avanzare</t>
  </si>
  <si>
    <t>0401</t>
  </si>
  <si>
    <t>Lega Regionale delle Cooperative e Mutue</t>
  </si>
  <si>
    <t>LegaCoop Puglia in Rete</t>
  </si>
  <si>
    <t>0388</t>
  </si>
  <si>
    <t>G. Capruzzi</t>
  </si>
  <si>
    <t>70124</t>
  </si>
  <si>
    <t>80006300729</t>
  </si>
  <si>
    <t>1. Nell’attività 2 è stata stralciata la spesa di 30 k€ per la trasmissione di 200 spot su emittente televisiva imputata come costi di software e la spesa di 11,4 k€ per l’organizzazione di 10 seminari imputati nelle spese generali e sono state entrambi t</t>
  </si>
  <si>
    <t>Confapi Puglia</t>
  </si>
  <si>
    <t>Confapinrete</t>
  </si>
  <si>
    <t>04/02/2003</t>
  </si>
  <si>
    <t>0394</t>
  </si>
  <si>
    <t>1. Viene confermato il piano tecnico economico previsto nel progetto esecutivo,</t>
  </si>
  <si>
    <t>Unione Regionale dell'Artigianato e della Piccola Impresa Pugliese (U.R.A.P. Confartigianato Imprese)</t>
  </si>
  <si>
    <t>0390</t>
  </si>
  <si>
    <t xml:space="preserve">Assopim 080.3113982 tel e FAX 080.3115200 Sig.ra Martimucci Lucia 3495051557 e  Mangiatordi Michele consul assopim cel 3283604899. Consorzio PROAPI dott.ssa Martucci Paola 338,2786349 / 080-5741940 Martino Carlo pres: 080-3103858 paolamartucci@alice.it
</t>
  </si>
  <si>
    <t>Putignani</t>
  </si>
  <si>
    <t>12/A</t>
  </si>
  <si>
    <t>IT86S0103004000000004334682</t>
  </si>
  <si>
    <t>IT37C0322604000000004394233</t>
  </si>
  <si>
    <t>1. Sono state stralciate le spese relative all’attività A1.8 per k€ 135 dalla voce di costo licenze e quelle relative all’attività A3.5 per k€ 92 dalla voce di costo consulenze, per un totale di k€ 227, in quanto si riferiscono ad attività di e-learning c</t>
  </si>
  <si>
    <t>Unione Nazionale Cooperative Italiane</t>
  </si>
  <si>
    <t>E-COOP Cooperative e servizi on line</t>
  </si>
  <si>
    <t>0402</t>
  </si>
  <si>
    <t>De Nicolo</t>
  </si>
  <si>
    <t>1. Il piano tecnico economico del progetto esecutivo viene confermato,</t>
  </si>
  <si>
    <t>Ance Puglia</t>
  </si>
  <si>
    <t>0392</t>
  </si>
  <si>
    <t>Collegio dei Geometri della Provincia di Bari</t>
  </si>
  <si>
    <t>Geometri2NetPuglia</t>
  </si>
  <si>
    <t>0399</t>
  </si>
  <si>
    <t>Amendola</t>
  </si>
  <si>
    <t>172/C</t>
  </si>
  <si>
    <t>80019030727</t>
  </si>
  <si>
    <t>Ordine dei Farmacisti della Provincia di Bari</t>
  </si>
  <si>
    <t>Farmacisti Network</t>
  </si>
  <si>
    <t>0400</t>
  </si>
  <si>
    <t>Devitofrancesco</t>
  </si>
  <si>
    <t>4/C</t>
  </si>
  <si>
    <t>25/03/2004</t>
  </si>
  <si>
    <t>1707</t>
  </si>
  <si>
    <t>N.B.C. Sport Disabili</t>
  </si>
  <si>
    <t>1701</t>
  </si>
  <si>
    <t>Federazione Regionale Dottori Agronomi e Forestali</t>
  </si>
  <si>
    <t>Viridia</t>
  </si>
  <si>
    <t>1706</t>
  </si>
  <si>
    <t>1702</t>
  </si>
  <si>
    <t>Foggia</t>
  </si>
  <si>
    <t>Fg</t>
  </si>
  <si>
    <t>Confcommecio Provinciale Bari</t>
  </si>
  <si>
    <t>1704</t>
  </si>
  <si>
    <t>Associazione Piccole e Medie Imprese della Murgia</t>
  </si>
  <si>
    <t>A.O.L.</t>
  </si>
  <si>
    <t>1708</t>
  </si>
  <si>
    <t>04354480727</t>
  </si>
  <si>
    <t>UE/STATO capitolo 1091602</t>
  </si>
  <si>
    <t>REGIONE capitolo 1095602</t>
  </si>
  <si>
    <t>Quota ue/Stato</t>
  </si>
  <si>
    <t>Quota Regione</t>
  </si>
  <si>
    <t>anno</t>
  </si>
  <si>
    <t>LIQUIDAZIONE
ANTICIPAZIONE</t>
  </si>
  <si>
    <t>Federazione Regionale Coldiretti Puglia</t>
  </si>
  <si>
    <t>1709</t>
  </si>
  <si>
    <t>Ass.I.Olivi-Multimedia</t>
  </si>
  <si>
    <t>06/04/2004</t>
  </si>
  <si>
    <t>2049</t>
  </si>
  <si>
    <t>1. Si conferma l’ammissibilità del quadro economico del progetto presentato dal proponente.</t>
  </si>
  <si>
    <t>05594760729</t>
  </si>
  <si>
    <t>TOTCONTR</t>
  </si>
  <si>
    <t>Comunità</t>
  </si>
  <si>
    <t>Stato</t>
  </si>
  <si>
    <t>i-cow</t>
  </si>
  <si>
    <t>Costituzione gruppo progetto</t>
  </si>
  <si>
    <t>Monica Di Giuseppe</t>
  </si>
  <si>
    <t>Alessandro Rizzo</t>
  </si>
  <si>
    <t>Nicola Digirolamo (Pres.)</t>
  </si>
  <si>
    <t>Felice Bitetti</t>
  </si>
  <si>
    <t>Michele Valeriano</t>
  </si>
  <si>
    <t xml:space="preserve"> 30/10/2008</t>
  </si>
  <si>
    <t xml:space="preserve">Giuseppe Puzzovio (Pres.)
</t>
  </si>
  <si>
    <t>Paola Tana</t>
  </si>
  <si>
    <t>Antonio Tramacere(Pres.)</t>
  </si>
  <si>
    <t>Francesco Rella</t>
  </si>
  <si>
    <t>Leonardo Morgante (Pres.)</t>
  </si>
  <si>
    <t>Antonio Chiarello</t>
  </si>
  <si>
    <t xml:space="preserve">Carmine Fella
</t>
  </si>
  <si>
    <t>Vinicio Malorgio</t>
  </si>
  <si>
    <t>Vincenzo Ranaldo</t>
  </si>
  <si>
    <t>Dora Palmisano</t>
  </si>
  <si>
    <t>Michele Camporeale</t>
  </si>
  <si>
    <t>Gianfranco Melissano</t>
  </si>
  <si>
    <t>Claudio Cordisco</t>
  </si>
  <si>
    <t>Valeriano Michele</t>
  </si>
  <si>
    <t>D'Andria Pierfrancesco</t>
  </si>
  <si>
    <t>Scarpelli Virgilio</t>
  </si>
  <si>
    <t>Antonio Nestola</t>
  </si>
  <si>
    <t>Alessandro Pagliardini</t>
  </si>
  <si>
    <t>Andrea Moretti</t>
  </si>
  <si>
    <t>Francesco Negro</t>
  </si>
  <si>
    <t>Chiarello Antonio</t>
  </si>
  <si>
    <t>Fernando Strafella</t>
  </si>
  <si>
    <t>Vincenzo Maniglio</t>
  </si>
  <si>
    <t>Indino Luigi Giovanni</t>
  </si>
  <si>
    <t>Andrea Cudazzo</t>
  </si>
  <si>
    <t>Vincenzo Ingrosso</t>
  </si>
  <si>
    <t>Paolo Tremamunno</t>
  </si>
  <si>
    <t>Carmine Fella</t>
  </si>
  <si>
    <t>Fabio Papadia</t>
  </si>
  <si>
    <t>Nicola Digirolamo</t>
  </si>
  <si>
    <t>Angela Miglionico</t>
  </si>
  <si>
    <t>Leonardo Morgante</t>
  </si>
  <si>
    <t>Letizia De Giorgi</t>
  </si>
  <si>
    <t>Giuseppe Puzzovio</t>
  </si>
  <si>
    <t>Assunto Vito Laricchiuta</t>
  </si>
  <si>
    <t>Perrone Antonio</t>
  </si>
  <si>
    <t>Miglionico Angela</t>
  </si>
  <si>
    <t>Tramacere Antonio</t>
  </si>
  <si>
    <t>PierPaolo Madaro</t>
  </si>
  <si>
    <t>Luigi Traetta</t>
  </si>
  <si>
    <t>Presentazione Validazione gruppo progetto</t>
  </si>
  <si>
    <t>Predisposizione HW/SW di base</t>
  </si>
  <si>
    <t>Creazione piattaforma tecnologica informatizzazione procedure selettive bestiame</t>
  </si>
  <si>
    <t>Creazione vortale "i-Cow"</t>
  </si>
  <si>
    <t>Implementazione servizi digitali settore zoo-profilattico</t>
  </si>
  <si>
    <t>Sviluppo Implementazione sistema georeferenziale</t>
  </si>
  <si>
    <t>Adeguamenti organizzativi/tecnologici</t>
  </si>
  <si>
    <t>programma accompagnamento /Attivazione call center</t>
  </si>
  <si>
    <t>Security management</t>
  </si>
  <si>
    <t>Quality management</t>
  </si>
  <si>
    <t>Manutenzione evoluzione e gestione della piattaforma tecnologica</t>
  </si>
  <si>
    <t>S.C.I.A.-net</t>
  </si>
  <si>
    <t>INCOM</t>
  </si>
  <si>
    <t>Coordinamento tecnico gestionale</t>
  </si>
  <si>
    <t>e-services</t>
  </si>
  <si>
    <t>160 0654</t>
  </si>
  <si>
    <t>CONTRIBUTO RIMODULATO</t>
  </si>
  <si>
    <t>CONTRIBUTO SU SPESA / CONTRIBUTO PREVISTO O RIMODULATO</t>
  </si>
  <si>
    <t>SPESA EFFETT. / SPESA PREV. O RIMOD.</t>
  </si>
  <si>
    <t>N.RO DET.DISIMPEGNO</t>
  </si>
  <si>
    <t>DATA DET.DISIMPEGNO</t>
  </si>
  <si>
    <t>Attività di diffusione e promozione</t>
  </si>
  <si>
    <t>repertorio</t>
  </si>
  <si>
    <t>datarepertorio</t>
  </si>
  <si>
    <t>08/06/2004</t>
  </si>
  <si>
    <t>12 SAL</t>
  </si>
  <si>
    <t>12 SAL - SPESA</t>
  </si>
  <si>
    <t>12 SAL - CONTRIBUTO</t>
  </si>
  <si>
    <t>12 SAL - DA EROGARE</t>
  </si>
  <si>
    <t>12 SAL - UE/Stato</t>
  </si>
  <si>
    <t>12 SAL Reg</t>
  </si>
  <si>
    <t>1. Il quadro tecnico economico presentato nel progetto esecutivo viene confermato ammissibile in via provvisoria.</t>
  </si>
  <si>
    <t>Junipero Serra</t>
  </si>
  <si>
    <t>602C020005</t>
  </si>
  <si>
    <t>CodMir</t>
  </si>
  <si>
    <t>IdImp</t>
  </si>
  <si>
    <t>602C020006</t>
  </si>
  <si>
    <t>602C020002</t>
  </si>
  <si>
    <t>602C020003</t>
  </si>
  <si>
    <t>602C020004</t>
  </si>
  <si>
    <t>602C020001</t>
  </si>
  <si>
    <t>Attività di diffusione e promozione/fidelity card</t>
  </si>
  <si>
    <t>L'attività 6 è pari all'11% del costo del progetto</t>
  </si>
  <si>
    <t>BA</t>
  </si>
  <si>
    <t>P.zza Moro</t>
  </si>
  <si>
    <t>05787610723</t>
  </si>
  <si>
    <t>93019890727</t>
  </si>
  <si>
    <t>328-6277627 0881728203 carlo poppa - roberto papadia 0881775695 3498750900</t>
  </si>
  <si>
    <t>dora.palmiotti@costellazioneapulia.net</t>
  </si>
  <si>
    <t>13224-13283</t>
  </si>
  <si>
    <t>Valter Sergi</t>
  </si>
  <si>
    <t>080-5613578 - 080-5610516</t>
  </si>
  <si>
    <t>ALLA FIRMA</t>
  </si>
  <si>
    <t>AL REPERTORIO</t>
  </si>
  <si>
    <t>IN RAGIONERIA</t>
  </si>
  <si>
    <t>DELIBERA COLLAUDI</t>
  </si>
  <si>
    <t>REVOCA UIMEC</t>
  </si>
  <si>
    <t>OK</t>
  </si>
  <si>
    <t>LIQUIDAZIONE CNA</t>
  </si>
  <si>
    <t>LIQUIDAZIONE INGEGNERI</t>
  </si>
  <si>
    <t>LIQUIDAZIONE CONFINDUSTRIA</t>
  </si>
  <si>
    <t>LIQUIDAZIONE URAP</t>
  </si>
  <si>
    <t>IMPEGNO PIT 5</t>
  </si>
  <si>
    <t>IMPEGNO PI 3</t>
  </si>
  <si>
    <t>DELIBERA TECNOPOLIS</t>
  </si>
  <si>
    <t>IN GIUNTA</t>
  </si>
  <si>
    <t>DA NOTIFICARE</t>
  </si>
  <si>
    <t>OK SITO</t>
  </si>
  <si>
    <t xml:space="preserve">1. La spesa per i costi generali di k€ 53,55 è pari al 5,69% dell’intero progetto e quindi viene riportata entro il 5% previsto dal bando a k€ 46,70, riducendo in proporzione le quote esposte per ciascuna delle 14 attività.2. I costi per infrastrutture tecnologiche previsti per k€ 65,00 in attività 5 e 10, sono stati riportati tutti nella sola attività 5 di “Predisposizione soluzioni sw e hw di base” sottraendoli all’attività 10 che invece sembra essere un’attività di promozione e sperimentazione del progetto.3. La spesa ammessa in via provvisoria, sulla base delle indicazioni riportate nel progetto esecutivo, è pari a k€ 934,200, con un contributi regionale di k€ 607,230. </t>
  </si>
  <si>
    <t>602C020012</t>
  </si>
  <si>
    <t>602C020010</t>
  </si>
  <si>
    <t>1. Nella sotto attività B6 di attività 5 è prevista un’azione di promozione i cui costi non sono disaggregati. Dovranno comunque essere contenuti nel 5%.2. Il costo complessivo del progetto ammesso in via provvisoria a finanziamento conferma il quadro economico esposto dal proponente nel progetto esecutivo per Euro 1.500.000,00.</t>
  </si>
  <si>
    <t>MANDATO DATA</t>
  </si>
  <si>
    <t>S/4000/01030</t>
  </si>
  <si>
    <t>6189/2004</t>
  </si>
  <si>
    <t>Industria e Finanza S.p.A.</t>
  </si>
  <si>
    <t>14492 - 
14577</t>
  </si>
  <si>
    <t>IMPORTI</t>
  </si>
  <si>
    <t>TOTALE
LIQUIDATO</t>
  </si>
  <si>
    <t>14493 - 14578</t>
  </si>
  <si>
    <t>14662 - 14740</t>
  </si>
  <si>
    <t>080-5027195</t>
  </si>
  <si>
    <t>Via Omodeo</t>
  </si>
  <si>
    <t>9357-9475</t>
  </si>
  <si>
    <t>10949-11019</t>
  </si>
  <si>
    <t>10593-10663</t>
  </si>
  <si>
    <t>4709-4831</t>
  </si>
  <si>
    <t>Obiettivo del progetto è la realizzazione di una infrastruttura tecnologica che metta a disposizione della Confartigianato Puglia e delle sue sedi territoriali, una serie di soluzioni software e metodologie che consentono di fornire servizi alle aziende. Tali servizi riguardano principalmente la consulenza fiscale, la consulenza per l’internazionalizzazione delle imprese, l’eLearning, l’ottimizzazione delle relazioni tra aziende ed associazioni. 
Progettazione e implementazione di un sistema multicanale per la creazione di una piattaforma informativa di tutti gli aderenti alla Confartigianato regionale, per la gestione delle campagne marketing e per l’analisi dei risultati delle stesse.
Progettazione e implementazione di un applicativo abilitato ad acquisire in automatico i dati dai programmi di contabilità e/o bilancio con i quali è integrato, consentendo di effettuare approfondite analisi di bilancio e di ottenere, per ogni azienda, un fascicolo completo di riclassificazioni, indici e grafici..
Progettazione e sviluppo di contenuti relativi alla internazionalizzazione delle imprese, proponendo di fatto un uso mirato di servizi precedentemente sviluppati (Knowledge management, E-learning, E-service) a supporto del ruolo svolto al riguardo dalla sede provinciale di Bari
Progettare e realizzare gli strati di canale (Wap, SMS, IVR, Palmare, Mail, totem multimediali etc.) per la fruizione dei servizi implementati a livello di portale oltre che il servizio di posta elettronica in modalità web-based.
Sviluppo dei Datamart e dei DSS provinciali.Sviluppo e implementazione di un sistema di Content Presentation. Sviluppo e implementazione di un sistema di E-service. Sviluppo e implementazione di un sistema di Market Place. Sviluppo e implementazione di un sistema di Community. Sviluppo e implementazione di un sistema di Gallerie virtuali. Sperimentazione Sistema di Videoconferenza
Gestione di un’area contenente tutte le sezioni di informazione tecnica, legislativa, professionale e sindacale del settore degli autotrasportatori.Gestione di un sistema di market place dedicata al settore degli autotrasportatori.
Gestione di un sistema di consulenza e assistenza per l’accesso al credito a favore di tutti gli associati regionali.
Prestazione di servizi di assistenza per la fruizione di finanziamenti comunitari, nazionali, regionali e provinciali.
Qualità e sicurezza, Internazionalizzazione
Gestione di un sistema di consulenza mirato per le categorie degli Impiantisti e dei Costruttori della Puglia.
Gestione di un’area riservata alla consulenza per la categoria degli Odontotecnici
Messa a disposizione delle aziende associate di servizi di analisi e consulenza economico- finanziaria.</t>
  </si>
  <si>
    <t xml:space="preserve">Il proponente intende offrire ai suoi associati un supporto per l’adeguamento ai nuovi canoni d’impresa e una maggiore efficienza del proprio sistema informatico. I servizi che si intendono promuovere, tramite un portale web, sono suddivisi in quattro aree tematiche:
· area Finanza Agevolata – Area di consulenza economico finanziaria per la risoluzione di problemi multidisciplinari connessi alla realizzazione di investimenti per nuove iniziative e operazioni di consolidamento finanziario anche in relazioni agli strumenti di finanza agevolata e fund raising, per le imprese sociali.
· Area Qualità Sicurezza e Ambiente – Servizi di consulenza per il rilascio di certificazioni ISO 9000, ISO 14000, EMAS ,e di adeguamento alla 626/1994.
· Area Gestione d’impresa – Messa a disposizione di una serie di tecniche e strumenti di pianificazione e controllo del ciclo di vita delle commesse e delle attività d’impresa (in relazione alla tipologia di cooperativa).
· Area Gare d’Appalto (Proposal Management) – Servizi di informazione tesi a migliorare l’efficienza e la qualità delle risposte alle gare d’appalto in materia di L.109/94, L.157/1995 e L.358/1992 </t>
  </si>
  <si>
    <t>Il progetto si sviluppa attraverso le seguenti linee d’intervento:
1. costruzione di un portale che offra informazioni e servizi alla categoria dei geometri pugliesi e ai cittadini;
2. adeguamento delle infrastrutture tecnologiche di rete dei Collegi dei Geometri della regione Puglia (Bari, Brindisi, Foggia, Lecce, Lucera, Taranto);
3. allestimento di 20 stazioni di lavoro nei diversi collegi;
4. promozione dell’utilizzo della piattaforma.
In particolare, il Portale verrà sviluppato per realizzare il sistema d’interscambio informativo tra il collegio ed i suoi iscritti per questioni attinenti l’esercizio della professione (Circolari, Bandi, Commissioni Consultive), accesso alle Informazioni Giuridico-Amministrative, di più generale interesse. Inoltre, verranno gradualmente realizzati servizi per:
- automatizzare le pratiche d’interazione con le Pubbliche Amministrazioni (scambio di flussi elettronici, mappe digitalizzate, iter procedurali di consultazioni, presentazione, aggiornamenti e rilasci con i Catasti già automatizzati e con quelli che man mano lo diventeranno); 
- per venire incontro ad esigenze della Comunità dei Cittadini, con particolare riferimento alla promozione e diffusione della funzione @bitareinsicurezza; 
- per assistere la formazione a distanza;
- per sostenere lo scambio automatico dei flussi informativi anche tramite l’uso della firma digitale.
Dei sei Collegi soltanto quello di Bari dispone al momento di un sito web (www.geometribari.it) a carattere informativo per gli associati. Inoltre, il progetto offre visibilità al servizio per la Comunità dei Cittadini già elaborato dai Collegi dei Geometri di Puglia che costituisce uno strumento di primo allarme contro i rischi di crollo degli edifici. Conformato nella forma di questionario, tale strumento consente una preliminare indagine e il controllo costante della propria abitazione.</t>
  </si>
  <si>
    <t>· Proporre un modello di funzionalità multimediale completa e definita, tale da coprire le esigenze del cittadino o dell’iscritto all’Ordine, del singolo o della stessa comunità cui appartiene.
· Definire un portale di reale comunicazione tramite sistemi digitali con approcci raggiungili da tutti (telefono).
· Analizzare i requisiti funzionali e tecnici di una piattaforma fad per la formazione continua dei farmacisti e che sia compatibile con le finalità  e regolamentazioni previste dal programma nazionale ECM.
· Adattare una piattaforma telematica di e-learning agli standard internazionali dell’e-learning (AICC/SCORM).
· Definire un modello organizzativo ed economico per l’autosostentamento e l’erogazione a regime del servizio.
· Divulgare i risultati del progetto attraverso i siti internet degli ordini, newsletter, mailing agli iscritti agli ordini, articoli sulla stampa e presentazioni in conferenze e seminari.</t>
  </si>
  <si>
    <t>Il progetto propone:
di attivare una net-community attraverso un programma integrato di Azioni in grado di fornire alle Imprese pugliesi un circuito di servizi, di relazioni, di assistenza, di informazioni nel campo della prevenzione, della tutela della salute e della sicurezza nei luoghi di lavoro; sviluppare e supportare l’attività di analisi, valutazione e prevenzione del rischio nelle piccole e medie imprese; realizzare  un sistema che  garantisca la salute e la sicurezza negli ambienti di lavoro mediante l’utilizzo diffuso delle nuove tecnologie e che registri l’andamento epidemiologico ed il bisogno di assistenza nei luoghi di lavoro, con risultati concreti ed integrabili con le politiche socio-sanitarie ed economiche attualmente in fase di  implementazione nella Regione.
 Obiettivi: incidere in maniera efficace sulla comunità delle PMI  pugliesi al fine di diffondere le conoscenze, gli strumenti e le applicazioni della Società dell’Informazione, cercando di incentivare la sperimentazione e la diffusione dei servizi di telemedicina applicati al campo della prevenzione, della tutela della salute e della sicurezza nei luoghi di lavoro.
- creazione ed attivazione di un Centro Servizi “e-salute” in grado di erogare anche all’interno dell’azienda diagnosi specialistiche “on line” e servizi di videoconsulto;
- creazione di un portale denominato “Work Care” dedicato, inizialmente, alle PMI pugliesi che contenga informazioni complete e facilmente fruibili relative alla tutela della salute e della sicurezza nei luoghi di lavoro, in grado di favorire rapporti di collaborazione stabili e continuativi atti a facilitare un flusso costante di informazione, consulenze, dati e documentazione;
- creazione di una piattaforma tecnologica integrata a sistemi di videoconferenza, per garantire un’assistenza e un’informazione continua a medici, imprenditori, responsabili della sicurezza;
- attivazione di azioni di diffusione, sensibilizzazione, informazione sui temi dell’utilizzo dei servizi di telemedicina applicati alla prevenzione, tutela e miglioramento della salute nei luoghi di lavoro.</t>
  </si>
  <si>
    <t>Il progetto si prefigge la diffusione della Conoscenza nella Comunità dei Cittadini, attraverso:§ la sensibilizzazione di massa sull’uso delle tecnologie dell’informazione e della comunicazione per favorirne la più ampia diffusione a livello locale;§ l’accesso pubblico ad Internet;§ l’abbattimento delle barriere alla diffusione dell’ICT con attivazione di servizi nelle scuole per favorire la riduzione dei costi di connessione ad internet;§ il potenziamento dell’offerta di prodotti didattici con realizzazione di prodotti e servizi per la didattica, la formazione a distanza in scuole, PMI, sportelli comunali ecc.§ Sostenere la sperimentazione del marketing e del commercio elettronico;§ la realizzazione di reti di imprese per l’aggregazione di imprese;§ favorire la creazione di nuove attività imprenditoriali nel settore dell’ICT (Information &amp; Communication Technology) con i soggetti possessori di contenuti (università, musei, centri di produzione culturali, PA);§ realizzare applicazioni multimediali ed ICT a servizio dei beni culturali con riferimento alla creazione di musei virtuali, stand e mostre virtuali, chioschi multimediali, ecc.)</t>
  </si>
  <si>
    <t>Il progetto intende implementare una  base di conoscenza “VIRIDIA” nell’ ambito delle competenze dei dottori Agronomi e dei Dottori Forestali. VIRIDIA sarà gestita mediante una piattaforma telematica, la cui interfaccia principale sarà costituita da un portale multifunzione e multicanale. I contenuti di VIRIDIA saranno accessibili dalle piccole e medie imprese del tessuto socio-economico pugliese.
Promuovere la creazione di una rete socio-economico-telematica di una “Business net-community” dei dottori Agronomi e Forestali di Puglia, sviluppando  infrastrutture e servizi di comunicazione e di tecnologie applicative che favoriscono processi di aggregazione e cooperazione,   sviluppo di strumenti e tecnologie telematiche intese a rafforzare i legami fra i professionisti e le PMI pugliesi.</t>
  </si>
  <si>
    <t>Le attività previste nel progetto rappresentano, ad un tempo, il completamento ed il potenziamento delle attività già svolte dal soggetto proponente.
La Confimprese, quale organizzazione datoriale, offre ai propri associati servizi informativi e consulenziali di tipo tradizionale, la cui fruizione è condizionata dalla presenza fisica presso le varie sedi regionali e provinciali.
Attraverso la realizzazione del portale e delle piattaforme tecnologiche tali servizi potranno essere estesi ad una platea potenzialmente illimitata di imprese ed offrire un reale vantaggio competitivo per tutti gli attori economici presenti sul territorio regionale. 
Le attività già svolte (in particolare attraverso il bollettino informativo Ret@il) potranno essere integrate e potenziate attraverso il portale previsto.
Sono specificati nel progetto i seguenti obiettivi:
Portale informativo e di servizi 
Realizzazione di un portale informativo di tipo “aperto”, aggiornabile on line  anche da esperti che non si trovano fisicamente in loco.
E-commerce Obiettivo dell’attività è la creazione di una piattaforma telematica in grado di ospitare siti aziendali interconnessi tra loro con un sistema di e-commerce centralizzato. 
Piattaforma FAD Realizzare una piattaforma in grado di ospitare contenuti formativi modulari, con la previsione di ambienti didattici diversi (segreteria, corsi, biblioteca, forum di discussione) che consentano agli utenti di operare nella logica dell’apprendimento “cooperativo” e di ricreare la struttura dell’aula (come ambiente virtuale). 
Attività editoriali ed informative Realizzare prodotti informativi e divulgativi sulle tematiche di maggior interesse per le imprese, rivolti anche ai soggetti che non hanno direttamente partecipato alle attività previste nelle fasi precedenti, nell’intento di sensibilizzare alle tematiche legate alla SI il maggior numero possibile di strutture imprenditoriali. 
Diffusione dei risultati Per quanto riguarda la diffusione dei risultati, oltre all’invio dei materiali elaborati nella fase precedente attraverso mailing list mirate, si prevede la realizzazione di attività seminariali o convegnistiche sui temi oggetto dell’intervento e, in generale, sulle problematiche legate alla SI.</t>
  </si>
  <si>
    <t>Il progetto prevede la realizzazione di un Centro Servizi localizzato a Bari
La struttura del Centro Servizi consentirà sia il consolidamento dell’attuale base associativa Confcommercio della provincia di Bari, che conta circa 10.000 imprese associate, sia l’ampliamento della stessa, considerando che il bacino di utenza è rappresentato dalle oltre 60.000 imprese attive nel settore Terziario ed  iscritte presso la CCIAA di Bari.
La realizzazione dell'infrastruttura di Servizi previsti nel progetto supporterebbe iniziative già in atto da parte dell’Associazione del Terziario della Provincia di Bari-Confcommercio quali:
· Interscambio informativo con le altre sedi provinciali;
· Organizzazione di meeting e convegni in collaborazione tra le diverse sedi provinciali;
· Organizzazione di eventi fieristici di settore, con il coinvolgimento delle Istituzioni locali, al fine di promuovere, verso altre sedi provinciali, la partecipazione a tali iniziative attraverso facilitazioni economiche da parte degli operatori del settore turistico, associati all’Associazione del Terziario della Provincia di Bari-Confcommercio.</t>
  </si>
  <si>
    <t xml:space="preserve">La proposta progettuale può essere così schematizzata:
- scheletro portante del progetto è la realizzazione di un Portale dell'Assopim (che sostituisce la pagina web già esistente) la cui progettazione ed esecuzione prevede le fasi di:
o analisi delle esigenze (in termini di servizi da erogare) degli associati;
o progettazione dei contenuti del portale e dei relativi servizi;
o sviluppo del portale;
o verifica del feedback ed eventuale rimodulazione dei contenuti;
Il progetto si sostanzia nella creazione di una net community
a) rendere alle aziende iscritte all'Assopim servizi specialistici per la comunicazione e la cooperazione (news, informazioni real time anche via SMS, servizi di e-mail), consulenze normative, tecniche, fiscali, contrattualistiche, agevolare la cooperazione per l'e-commerce e la logistica integrata;
b) mettere a disposizione delle aziende iscritte ad Assopim banche dati, ricerche, studi e supporti informativi;
c) far circolare le informazioni per promuovere la creazione del network ASSOPIM, aumentando la visibilità associativa e il suo potere contrattuale.
</t>
  </si>
  <si>
    <t xml:space="preserve">Il progetto propone:
la sperimentazione e la realizzazione di nuovi servizi in grado di promuovere la SI in Puglia. Questo obiettivo viene perseguito su più fronti, a partire dalla costruzione di infrastrutture hardware e di rete per la comunicazione fra Coldiretti, PA e imprese della regione. I servizi previsti sono di natura informativa, promuovono le imprese e l’e-business, la diffusione di servizi specialistici, aperti anche alle imprese per agevolare le comunicazioni di dati e informazioni di supporto alla gestione dell’impresa; inoltre per la promozione della cooperazione fra sistemi informativi eterogenei, si prevedono attività di sperimentazione operativa volta a definire delle modalità per lo scambio di dati, per far sì che nuovi servizi possano integrarsi coi servizi intranet e portare anche le imprese a contatto con le amministrazioni sopra esposte, attraverso la professionalità ed il supporto di un intermediario a valore aggiunto quale è Coldiretti. Una sperimentazione trasversale a quelle previste è quindi sicuramente quella su piattaforme di e-learning, che sfruttano appieno le potenzialità del web (es. videoconferenza).
- realizzazione della rete geografica regionale della Coldiretti Puglia per consentire l’utilizzo del sistema informativo per l’erogazione on-line dei servizi alla periferia
- realizzazione della server farm che erogherà i servizi offerti dalla Coldiretti Regionale Puglia ai propri dipendenti e collaboratori dislocati geograficamente nei propri uffici periferici 
- costruire e strutturare il Portale Regionale che permetterà la condivisione di informazioni e documenti, l’accesso ai servizi e l’organizzazione dei contenuti alle federazioni provinciali pugliesi
- Gestione dei servizi fiscali:  730 on line
- Integrazione dei servizi gestionali Coldiretti (sistema ERP legacy) nel portale intranet
- Gestione tramite web dei servizi EPACA (pratiche pensioni, infortuni, assistenza, agevolazioni)
- Gestione dell’anagrafe bovina
- Gestione del registro di cantina
- Gestione del registro dei trattamenti (quaderno di campagna)
- Catasto on line
- Gestione pratiche UMA
- Assessorato al lavoro Provinciale: sperimentazione sulla cooperazione per la gestione dei flussi lavorativi
- Sviluppo di un portale Internet di e-business dedicato alla promozione e commercializzazione online dei prodotti tipici pugliesi su scala regionale e lo studio e l’analisi del modello organizzativo territoriale di gestione del sistema, delle logiche per l’e-procurement e per la logistica integrata
- Sviluppo dei portali Internet territoriali della Federazione Coldiretti. Il WP comprende l’estensione del portale regionale attuale con servizi informativi aggiuntivi e lo sviluppo ex-novo dei cinque portali provinciali
- Sviluppo di un portale Internet di e-business di supporto al booking-online per l’agriturismo su scala regionale
- piattaforma di e-learning; sviluppo servizi specialistici e di supporto alla comunicazione ed alla cooperazione; sperimentazione di servizi innovativi quali videoconferenze basate su IP, seminari broadcasting divulgati sulla rete, forum specialistici fruibili attraverso internet, chat.
- coinvolgimento pre (sensibilizzazione territoriale e animazione); diffusione in; diffusione post (piano di comunicazione) </t>
  </si>
  <si>
    <t>Si progetta un “Portale Web” in grado di realizzare, per gli associati dell’Ass.I.Olivi Puglia, l’integrazione di servizi quali: la videoconferenza, l’e-procurement, le attività di Marketing.
L’obiettivo consiste nella creazione ed attivazione di un Sistema Informativo con cui incentivare la collaborazione tra tutti gli associati e, in termini generali,  incentivare i servizi a disposizione dell’Associazione ed aumentare il flusso di domanda legato alla commercializzazione dei prodotti agricoli da parte della grande, media e piccola distribuzione.</t>
  </si>
  <si>
    <t>L’iniziativa proposta ha come finalità la creazione, e la gestione attraverso un sistema integrato a livello regionale, di una “business net-community”.Gli obiettivi che l’Unione vuole raggiungere si sintetizzano nelle seguenti articolazioni di attività:- realizzazione di un osservatorio economico che permetta la conoscenza in tempi rapidi e in continuo aggiornamento del “paniere prezzi”;- avviare una metodologia di CRM, attraverso la strategia della Fidelity Card, quale strumento per ampliare e migliorare i punti di contatto con i clienti, attuali e potenziali;- introduzione di una fidelizzazione elettronica con Fidelity Card, cioè la definizione di un sistema automatizzato di pagamento;- realizzazione di un’offerta eLearning avanzata;- progettazione e realizzazione delle funzionalità di base del Portale Confcommercio Puglia.</t>
  </si>
  <si>
    <t>TOTPROGETTO Inc. IVA</t>
  </si>
  <si>
    <t>DESCRIZIONE ED OBIETTIVI</t>
  </si>
  <si>
    <t>N/79860/05262</t>
  </si>
  <si>
    <t>417R0322</t>
  </si>
  <si>
    <t>Zurich International Italia Spa</t>
  </si>
  <si>
    <t>27(2003)</t>
  </si>
  <si>
    <t>21(2001)-22(2003)</t>
  </si>
  <si>
    <t>Monte dei Paschi di Siena,Ag.2 Bari</t>
  </si>
  <si>
    <t>v.le Einaudi,14</t>
  </si>
  <si>
    <t>Z/04004/01030</t>
  </si>
  <si>
    <t>Banca Intesa</t>
  </si>
  <si>
    <t>v.le Einaudi,31</t>
  </si>
  <si>
    <t>COLLEGIO DEI GEOMETRI</t>
  </si>
  <si>
    <t>6152190366/84</t>
  </si>
  <si>
    <t>R/0369/04049</t>
  </si>
  <si>
    <t>Banca Apulia S.p.A.</t>
  </si>
  <si>
    <t>Quota Stato</t>
  </si>
  <si>
    <t>TOT CONTR CON IVA</t>
  </si>
  <si>
    <t>legacoop@legapuglia.it</t>
  </si>
  <si>
    <t>Vito Manzari</t>
  </si>
  <si>
    <t>1. L’attività 8 è di promozione ed è stata aumentata nel progetto esecutivo oltre il 5% a k€ 119,522 dai k€ 60,000 della proposta. Viene ricondotto al 5% riducendo proporzionalmente le diverse voci di costo dell’attività 8 sino all’importo di k€ 104,000 c</t>
  </si>
  <si>
    <t>Costellazione Apulia</t>
  </si>
  <si>
    <t>Avvio progetto</t>
  </si>
  <si>
    <t>Liguria Assicurazioni</t>
  </si>
  <si>
    <t>02/G/55002980</t>
  </si>
  <si>
    <t>Giovanni Brigante</t>
  </si>
  <si>
    <t>Riferimenti</t>
  </si>
  <si>
    <t>1. Si conferma il quadro tecnico-economico presentato nel progetto esecutivo la cui spesa ammessa in via provvisoria ammonta a keuro 3.842,070. 2. Si conferma il quadro tecnico-economico presentato nel progetto esecutivo la cui spesa ammessa in via provvisoria ammonta a keuro 3.842,070. Il contributo massimo concedibile (compresa Iva se dovuta) non potrà in ogni caso superare il limite di k€ 2.500 come indicato all’art. 1 del bando.</t>
  </si>
  <si>
    <t>Ritenuta 4%</t>
  </si>
  <si>
    <t>2003</t>
  </si>
  <si>
    <t>Federazione Ordini Dottori Agronomi e Forestali di Puglia</t>
  </si>
  <si>
    <t>ANCE PUGLIA - CRISED</t>
  </si>
  <si>
    <t>2001</t>
  </si>
  <si>
    <t>01/'02/'03</t>
  </si>
  <si>
    <t>5219</t>
  </si>
  <si>
    <t>4948</t>
  </si>
  <si>
    <t>4947</t>
  </si>
  <si>
    <t>Longo Dario V. Presidente</t>
  </si>
  <si>
    <t>Banca di Credito Cooperativo di Bari</t>
  </si>
  <si>
    <t>70121 - Bari</t>
  </si>
  <si>
    <t>Federazione Regionale U.N.C.I. Puglia capofila ATS "E-Coop"</t>
  </si>
  <si>
    <t>P/04000/70128</t>
  </si>
  <si>
    <t>UNCI - ECOOP</t>
  </si>
  <si>
    <t>Antonveneta Spa filiale di Bari agenzia 2</t>
  </si>
  <si>
    <t>Via Fanelli 206-210</t>
  </si>
  <si>
    <t>Confesercenti Puglia</t>
  </si>
  <si>
    <t>12483U</t>
  </si>
  <si>
    <t>V/04002/5040</t>
  </si>
  <si>
    <t>55923842</t>
  </si>
  <si>
    <t>Riunione Adriatica di Sicurtà Spa</t>
  </si>
  <si>
    <t>2004</t>
  </si>
  <si>
    <t>Francesco Sgherza</t>
  </si>
  <si>
    <t>D'ambrosio Paola</t>
  </si>
  <si>
    <t>2002/2003</t>
  </si>
  <si>
    <t>ANCE Puglia</t>
  </si>
  <si>
    <t>Viscontea Coface Spa</t>
  </si>
  <si>
    <t>S.I.Gargano -Comunità Montana del Gargano</t>
  </si>
  <si>
    <t>602C020028</t>
  </si>
  <si>
    <t>Monte dei Paschi di Siena - Agenzia di Bari</t>
  </si>
  <si>
    <t>Viale degli Aviatori n.126</t>
  </si>
  <si>
    <t>Via Nicolò dell'Arca, 22</t>
  </si>
  <si>
    <t>70100 - Bari</t>
  </si>
  <si>
    <t>4341677</t>
  </si>
  <si>
    <t>N/04000/01030</t>
  </si>
  <si>
    <t>Emanuele Papalia Taranto,20/10/41</t>
  </si>
  <si>
    <t>492685 del notaio Francesco Reboli</t>
  </si>
  <si>
    <t>492684 del notaio Francesco Reboli</t>
  </si>
  <si>
    <t>Federazione Regionale della Unione Nazionale Cooperative Italiane</t>
  </si>
  <si>
    <t>Giovanni Mongelli Foggia 8/6/57</t>
  </si>
  <si>
    <t>1269/96/42486503</t>
  </si>
  <si>
    <t>UNIPOL Assicurazioni</t>
  </si>
  <si>
    <t>2002</t>
  </si>
  <si>
    <t>5407</t>
  </si>
  <si>
    <t>1269/96/42486504</t>
  </si>
  <si>
    <t>43348.68</t>
  </si>
  <si>
    <t>Antonio Barile, Altamura 30.4.56</t>
  </si>
  <si>
    <t>Claudio Certini, Putignano 3.3.55</t>
  </si>
  <si>
    <t>58519</t>
  </si>
  <si>
    <t>C/04000/03226</t>
  </si>
  <si>
    <t>000004394233</t>
  </si>
  <si>
    <t>Legacoop</t>
  </si>
  <si>
    <t>43346.82</t>
  </si>
  <si>
    <t>N.dell'Arca, 22</t>
  </si>
  <si>
    <t>Catania</t>
  </si>
  <si>
    <t>SanPaolo IMI - Banco di Napoli - Ag. 3</t>
  </si>
  <si>
    <t>Via Manzoni, 80/84</t>
  </si>
  <si>
    <t>Assopim</t>
  </si>
  <si>
    <t>1000/769</t>
  </si>
  <si>
    <t>B/04003/01010</t>
  </si>
  <si>
    <t>Milano Assicurazioni Divisione La Previdente</t>
  </si>
  <si>
    <t>3522203360762</t>
  </si>
  <si>
    <t>15789-15817</t>
  </si>
  <si>
    <t>15610-15700</t>
  </si>
  <si>
    <t>16606-16706</t>
  </si>
  <si>
    <t>16608-16708</t>
  </si>
  <si>
    <t>16622-16715</t>
  </si>
  <si>
    <t>16623-16716</t>
  </si>
  <si>
    <t>Amendolara 3357211774 - 080-5482805 Dott. Mariani - Consulente Loiudice/Gioia 0805026505</t>
  </si>
  <si>
    <t>SUD EST BARESE - NOICATTARO</t>
  </si>
  <si>
    <t>602C020030</t>
  </si>
  <si>
    <t>602C020029</t>
  </si>
  <si>
    <t>Fax</t>
  </si>
  <si>
    <t>080-5220665</t>
  </si>
  <si>
    <t>080-5542090</t>
  </si>
  <si>
    <t>080-5486939</t>
  </si>
  <si>
    <t>080-5641379</t>
  </si>
  <si>
    <t>080-5559606</t>
  </si>
  <si>
    <t>080-5423970</t>
  </si>
  <si>
    <t>080-4054788</t>
  </si>
  <si>
    <t>080-5482809</t>
  </si>
  <si>
    <t>080-5484760</t>
  </si>
  <si>
    <t>080-3112628</t>
  </si>
  <si>
    <t>0881-790915</t>
  </si>
  <si>
    <t>080-5421683</t>
  </si>
  <si>
    <t>080-5610336</t>
  </si>
  <si>
    <t>080-5614487</t>
  </si>
  <si>
    <t>080-5482235</t>
  </si>
  <si>
    <t xml:space="preserve">Candida Bitetto 3357512075 - </t>
  </si>
  <si>
    <t>GeometriPuglia2Net</t>
  </si>
  <si>
    <t>0832-261185</t>
  </si>
  <si>
    <t>0832-318359</t>
  </si>
  <si>
    <t>0832-398887</t>
  </si>
  <si>
    <t>080-5283311</t>
  </si>
  <si>
    <t>Oronzo Milillo</t>
  </si>
  <si>
    <t>4000287/EP</t>
  </si>
  <si>
    <t>Itaca Spa</t>
  </si>
  <si>
    <t>PORTALE TERRITORIALE INTERCOMUNALE - FASANO</t>
  </si>
  <si>
    <t>ITER- NET - LECCE</t>
  </si>
  <si>
    <t>Luigi D'Ambrosio Lettieri</t>
  </si>
  <si>
    <t>Credito Cooperativo del Nord Barese, Agenzia di Ruvo di Puglia</t>
  </si>
  <si>
    <t>Ruvo di Puglia (Ba)</t>
  </si>
  <si>
    <t>000000000745</t>
  </si>
  <si>
    <t>Corso Gionanni Jatta, 15</t>
  </si>
  <si>
    <t>2015200625592</t>
  </si>
  <si>
    <t>Dott. Raffaele De Santis</t>
  </si>
  <si>
    <t>Durata progetto</t>
  </si>
  <si>
    <t>20%finale</t>
  </si>
  <si>
    <t>2005</t>
  </si>
  <si>
    <t>2006</t>
  </si>
  <si>
    <t>2007</t>
  </si>
  <si>
    <t>363-404</t>
  </si>
  <si>
    <t>MANDATO Ue/S - Reg</t>
  </si>
  <si>
    <t>Carlo Poppa</t>
  </si>
  <si>
    <t>4% Stato</t>
  </si>
  <si>
    <t>4% regione</t>
  </si>
  <si>
    <r>
      <t>sig.ra Giovanna Cacciatore</t>
    </r>
    <r>
      <rPr>
        <b/>
        <sz val="8"/>
        <rFont val="Arial"/>
        <family val="2"/>
      </rPr>
      <t xml:space="preserve"> </t>
    </r>
    <r>
      <rPr>
        <sz val="8"/>
        <rFont val="Arial"/>
        <family val="2"/>
      </rPr>
      <t>tel 0832-398887- pr. Manager Dott. Dino Salamanna 328.4238988 0833-861548</t>
    </r>
  </si>
  <si>
    <t>Amendolara 3357211774 - Consulente Loiudice/Gioia 0805026505</t>
  </si>
  <si>
    <t>SALGO - CASARANO</t>
  </si>
  <si>
    <t>CARE</t>
  </si>
  <si>
    <t>RISO</t>
  </si>
  <si>
    <t>APULIE</t>
  </si>
  <si>
    <t>―</t>
  </si>
  <si>
    <t>anci puglia</t>
  </si>
  <si>
    <t>11627-11716</t>
  </si>
  <si>
    <t>11628-11717</t>
  </si>
  <si>
    <t>N.</t>
  </si>
  <si>
    <t>Atto</t>
  </si>
  <si>
    <t>N° Rep.</t>
  </si>
  <si>
    <t>Data</t>
  </si>
  <si>
    <t>Descrizione</t>
  </si>
  <si>
    <t>Beneficiario</t>
  </si>
  <si>
    <t>Importi</t>
  </si>
  <si>
    <t>Impegno</t>
  </si>
  <si>
    <t>Liquidazione</t>
  </si>
  <si>
    <t>IMPRESE E PROFESSIONI</t>
  </si>
  <si>
    <t>Delibera</t>
  </si>
  <si>
    <t>Approvazione dello  schema di Bando Misura 6.2 Azione C) “Iniziative a sostegno del Sistema delle Imprese e Professioni</t>
  </si>
  <si>
    <t>Determina</t>
  </si>
  <si>
    <t>Pubblicazione sul BURP del Bando “Iniziative a sostegno del Sistema delle Imprese e Professioni</t>
  </si>
  <si>
    <t>Ammissione in graduatoria provvisoria</t>
  </si>
  <si>
    <t>Impegno di spesa</t>
  </si>
  <si>
    <t>anticipazione 30%</t>
  </si>
  <si>
    <t>Liquidazione 1° S.A.L.</t>
  </si>
  <si>
    <t>Istruttoria</t>
  </si>
  <si>
    <t>Liquidazione 2° S.A.L.</t>
  </si>
  <si>
    <t>TOTALI</t>
  </si>
  <si>
    <t>AUTONOMIE LOCALI</t>
  </si>
  <si>
    <t>Pubblicazione sul BURP del Bando “Iniziative a sostegno delle Autonomie Locali"</t>
  </si>
  <si>
    <t>impegno</t>
  </si>
  <si>
    <t>Modugno</t>
  </si>
  <si>
    <t>Noicattaro</t>
  </si>
  <si>
    <t>Gioia del Colle</t>
  </si>
  <si>
    <t>Brindisi</t>
  </si>
  <si>
    <t>Comunità Montana del Gargano</t>
  </si>
  <si>
    <t>Attesa docum. Integrativa</t>
  </si>
  <si>
    <t>Lucera</t>
  </si>
  <si>
    <t>In Ragioneria verificare disponibilità</t>
  </si>
  <si>
    <t>Carlantino</t>
  </si>
  <si>
    <t>Martina Franca</t>
  </si>
  <si>
    <t>Taranto</t>
  </si>
  <si>
    <t>San Ferdinando di Puglia</t>
  </si>
  <si>
    <t>Maglie</t>
  </si>
  <si>
    <t>Gallipoli</t>
  </si>
  <si>
    <t>Casarano</t>
  </si>
  <si>
    <t>In attesa di istruttoria</t>
  </si>
  <si>
    <t>Manduria</t>
  </si>
  <si>
    <t>Fasano</t>
  </si>
  <si>
    <t>anticipazione</t>
  </si>
  <si>
    <t>E-GOV</t>
  </si>
  <si>
    <t>CARE - Prov Foggia</t>
  </si>
  <si>
    <t>RISO - Lecce</t>
  </si>
  <si>
    <t>APULIE - Bari</t>
  </si>
  <si>
    <t>30% quota regionale</t>
  </si>
  <si>
    <t>Situzione alla data del 13/09/2005</t>
  </si>
  <si>
    <t>Capitoli</t>
  </si>
  <si>
    <t>disp. 1091602</t>
  </si>
  <si>
    <t>impeg. 945/1091602</t>
  </si>
  <si>
    <t>Bari memoria e conoscenza</t>
  </si>
  <si>
    <t>totale</t>
  </si>
  <si>
    <t>disp 1095602</t>
  </si>
  <si>
    <t>impeg. 945/1095602</t>
  </si>
  <si>
    <t>TOTALE GENERALE</t>
  </si>
  <si>
    <t>6847-4290869</t>
  </si>
  <si>
    <t>3 SAL</t>
  </si>
  <si>
    <t>3 SAL - SPESA</t>
  </si>
  <si>
    <t>3 SAL - CONTRIBUTO</t>
  </si>
  <si>
    <t>3 SAL - DA EROGARE</t>
  </si>
  <si>
    <t>3 SAL - UE/Stato</t>
  </si>
  <si>
    <t>3 SAL Reg</t>
  </si>
  <si>
    <t>1624</t>
  </si>
  <si>
    <t>51</t>
  </si>
  <si>
    <t>samy.dicomite@inwind.it</t>
  </si>
  <si>
    <t>15102-15151</t>
  </si>
  <si>
    <t>15493-15511</t>
  </si>
  <si>
    <t>15489-15506</t>
  </si>
  <si>
    <t>15490-15507</t>
  </si>
  <si>
    <t>14832-14908</t>
  </si>
  <si>
    <t>4 SAL</t>
  </si>
  <si>
    <t>4 SAL - SPESA</t>
  </si>
  <si>
    <t>4 SAL - CONTRIBUTO</t>
  </si>
  <si>
    <t>4 SAL - DA EROGARE</t>
  </si>
  <si>
    <t>4 SAL - UE/Stato</t>
  </si>
  <si>
    <t>4 SAL Reg</t>
  </si>
  <si>
    <t>000027000179</t>
  </si>
  <si>
    <t xml:space="preserve">Riccardo Figliolia 0805099808 - 3357053242 - 0805481801 - Vella Paolo - consulente Biancolillo angelica </t>
  </si>
  <si>
    <t>Via Putignani</t>
  </si>
  <si>
    <t>dellaquila@format-group.it</t>
  </si>
  <si>
    <t>ordfarma@ordinefarmacistibari.it</t>
  </si>
  <si>
    <t>CNA Progetto @sso_net</t>
  </si>
  <si>
    <t>19035-19287</t>
  </si>
  <si>
    <t>19407-19532</t>
  </si>
  <si>
    <t>19585-19663</t>
  </si>
  <si>
    <t>19722-19774</t>
  </si>
  <si>
    <t>19735-19796</t>
  </si>
  <si>
    <t>19736-19797</t>
  </si>
  <si>
    <t>19814-19917</t>
  </si>
  <si>
    <t>19818-19921</t>
  </si>
  <si>
    <t>20154-20217</t>
  </si>
  <si>
    <t>20407-20474</t>
  </si>
  <si>
    <t>18067-18212</t>
  </si>
  <si>
    <t>382</t>
  </si>
  <si>
    <t>383</t>
  </si>
  <si>
    <t>080-5421451- Mediterranea Elisa Civitella 080/5249818 - Grifo Ulloa antonio 080-4670298</t>
  </si>
  <si>
    <t>Monte dei Paschi di Siena, Agenzia di Putignano</t>
  </si>
  <si>
    <t>T / 41630 / 01030</t>
  </si>
  <si>
    <t>5 SAL</t>
  </si>
  <si>
    <t>576</t>
  </si>
  <si>
    <t>REVOCA CONTRIBUTI CON DETERMINA 627 DEL 19/06/2006</t>
  </si>
  <si>
    <t>info@assopim.it, assopim@altanet.it, amministrazione@assopim.it</t>
  </si>
  <si>
    <t>0832-317152 - 312857 - Vinicio Russo Soin2000 consl. 0832-217504; 328-3875709</t>
  </si>
  <si>
    <t>7169-7247</t>
  </si>
  <si>
    <t>7272-7328</t>
  </si>
  <si>
    <t>7273-7329</t>
  </si>
  <si>
    <t>7339-7424</t>
  </si>
  <si>
    <t>Ottavio Severo</t>
  </si>
  <si>
    <t>det 900/06</t>
  </si>
  <si>
    <t>det 901/06</t>
  </si>
  <si>
    <t>det 902/06</t>
  </si>
  <si>
    <t>det 903/06</t>
  </si>
  <si>
    <t>det 904/06</t>
  </si>
  <si>
    <t>det</t>
  </si>
  <si>
    <t>importo</t>
  </si>
  <si>
    <t>det 786/06</t>
  </si>
  <si>
    <t>11662-11779</t>
  </si>
  <si>
    <t>11664-11781</t>
  </si>
  <si>
    <t>11663-11780</t>
  </si>
  <si>
    <t>9190-9281</t>
  </si>
  <si>
    <t>9191-9282</t>
  </si>
  <si>
    <t>10118-10155</t>
  </si>
  <si>
    <t>Ing, Manciulli 0832284111 - 3492371330 Giovanna De Lorenzis 347-4858513 - mmanciulli@edinform.it - tel. 0832-245472 fax0832-304406 - federazione 080-5547405</t>
  </si>
  <si>
    <t>080-5547421</t>
  </si>
  <si>
    <t>Viale Einaudi</t>
  </si>
  <si>
    <t xml:space="preserve">0881-530664 tel e fax </t>
  </si>
  <si>
    <t>12420-12480</t>
  </si>
  <si>
    <t>12422-12481</t>
  </si>
  <si>
    <t>12678-12755</t>
  </si>
  <si>
    <t>I°   giu.'04-ott.'04;    II° ott.'04-feb.'05;  III° feb.'05-giu'05;</t>
  </si>
  <si>
    <t>I°   ago.'04-dic.'04;    II°  dic.'04-apr.'05;  III° apr.'05-ago'05;  IV° ago.'05-dic'05;  V°  dic.'04-apr.'05</t>
  </si>
  <si>
    <t>wp.2</t>
  </si>
  <si>
    <t>wp.1; wp.2; wp.3; wp.4; wp.5; wp.6; wp.7; wp.8;</t>
  </si>
  <si>
    <t>Indicatore di avanzamento   (% spesa / % tempo)</t>
  </si>
  <si>
    <t>I°; II°; III° nov.'04-nov.'05;   IV dic.'05-mar.'06</t>
  </si>
  <si>
    <t xml:space="preserve">wp.1; wp.2; </t>
  </si>
  <si>
    <t>n. sal</t>
  </si>
  <si>
    <t>tot liq / n.sal</t>
  </si>
  <si>
    <t>tot sal liquidati</t>
  </si>
  <si>
    <t>*1,5</t>
  </si>
  <si>
    <t>ZONA CALCOLI</t>
  </si>
  <si>
    <t>Sergio Annese 347-6830666 - Manlio Cassandro 0883-534045 - 335-6277101</t>
  </si>
  <si>
    <t>256</t>
  </si>
  <si>
    <t>255</t>
  </si>
  <si>
    <t>254</t>
  </si>
  <si>
    <t>257</t>
  </si>
  <si>
    <t>080-5539705 Marco Iannone fax 0805559606 - Francesca Cavicchia 348,9261553 - Giovanna Calabrese 0805539705 - Viesti (Getronics) 080-3855494, 348-4754077</t>
  </si>
  <si>
    <t>Profin Service 0805232592 Candida Bitetto 3357512075 fax 0805237535-0805720553 - Dongiovanni Gennearo 3358281565 - 0804979652 Tecnologie avanzate - Oronzo Milillo 348-9337990 - 3932631750</t>
  </si>
  <si>
    <t>15864-15953</t>
  </si>
  <si>
    <t>15868-15957</t>
  </si>
  <si>
    <t>15870-15959</t>
  </si>
  <si>
    <t>15871-15960</t>
  </si>
  <si>
    <t>18739-18984</t>
  </si>
  <si>
    <t>305</t>
  </si>
  <si>
    <t>18740-18985</t>
  </si>
  <si>
    <t>103955241006.11</t>
  </si>
  <si>
    <t>LA STELLA FINANZIARIA S.p.a.</t>
  </si>
  <si>
    <t>puglia@cia.it; info@scianet.it; b.mazzilli@agrinform.it</t>
  </si>
  <si>
    <t>30/01/007</t>
  </si>
  <si>
    <t>tel 328/8865581 fabio vannella   0881-532420</t>
  </si>
  <si>
    <t>Piave</t>
  </si>
  <si>
    <t>1142-1216</t>
  </si>
  <si>
    <t>1143-1217</t>
  </si>
  <si>
    <t>1321-1375</t>
  </si>
  <si>
    <t>1327-1380</t>
  </si>
  <si>
    <t>2097-2167</t>
  </si>
  <si>
    <t>2607-2669</t>
  </si>
  <si>
    <t>2609-2670</t>
  </si>
  <si>
    <t>Carlo Maria Martino</t>
  </si>
  <si>
    <t>scadenza</t>
  </si>
  <si>
    <t>5010.37</t>
  </si>
  <si>
    <t>Giannoccari 0832-263069 3471758993</t>
  </si>
  <si>
    <t>Antonio Calderaro</t>
  </si>
  <si>
    <t>9645-9757</t>
  </si>
  <si>
    <t>9116-9245</t>
  </si>
  <si>
    <t>4474-4579</t>
  </si>
  <si>
    <t>4473-4578</t>
  </si>
  <si>
    <t>15546-14599</t>
  </si>
  <si>
    <t>9921-10008</t>
  </si>
  <si>
    <t>7080-7168</t>
  </si>
  <si>
    <t>8423-8832</t>
  </si>
  <si>
    <t>4933-5070</t>
  </si>
  <si>
    <t>4939-5072</t>
  </si>
  <si>
    <t>13599-13659</t>
  </si>
  <si>
    <t>SPESA DA EFFET AL 60%</t>
  </si>
  <si>
    <r>
      <t>sig.ra Giovanna Cacciatore</t>
    </r>
    <r>
      <rPr>
        <b/>
        <sz val="7"/>
        <rFont val="Arial"/>
        <family val="2"/>
      </rPr>
      <t xml:space="preserve"> </t>
    </r>
    <r>
      <rPr>
        <sz val="7"/>
        <rFont val="Arial"/>
        <family val="2"/>
      </rPr>
      <t>tel 0832-398887- pr. Manager Dott. Dino Salamanna 328.4238988 0833-861548</t>
    </r>
  </si>
  <si>
    <t>19650-19768</t>
  </si>
  <si>
    <t>20079-20169</t>
  </si>
  <si>
    <t>20168-20078</t>
  </si>
  <si>
    <t>17942-18045</t>
  </si>
  <si>
    <t>20401-20487</t>
  </si>
  <si>
    <t>20080-20171</t>
  </si>
  <si>
    <t>20426-20511</t>
  </si>
  <si>
    <t>20818-20720</t>
  </si>
  <si>
    <t>21019-21161</t>
  </si>
  <si>
    <t>21330-21181</t>
  </si>
  <si>
    <t>23284-23323</t>
  </si>
  <si>
    <t>24031-24237</t>
  </si>
  <si>
    <t>24329-24490</t>
  </si>
  <si>
    <t>22879-23114</t>
  </si>
  <si>
    <t>9 SAL - SPESA</t>
  </si>
  <si>
    <t>9 SAL - CONTRIBUTO</t>
  </si>
  <si>
    <t>9 SAL - DA EROGARE</t>
  </si>
  <si>
    <t>9 SAL - UE/Stato</t>
  </si>
  <si>
    <t>9 SAL Reg</t>
  </si>
  <si>
    <t>9 SAL</t>
  </si>
  <si>
    <t>2272-2383</t>
  </si>
  <si>
    <t>10 SAL</t>
  </si>
  <si>
    <t>10 SAL - SPESA</t>
  </si>
  <si>
    <t>10 SAL - CONTRIBUTO</t>
  </si>
  <si>
    <t>10 SAL - DA EROGARE</t>
  </si>
  <si>
    <t>10 SAL - UE/Stato</t>
  </si>
  <si>
    <t>10 SAL Reg</t>
  </si>
  <si>
    <t>Napoli</t>
  </si>
  <si>
    <t>329G</t>
  </si>
  <si>
    <t>ECONOMIE SU SPESA</t>
  </si>
  <si>
    <t>ECONOMIE SU CONTRIBUTO</t>
  </si>
  <si>
    <t>Sgherza, Laforgia  080-5289753 fax 5220665 / Paola Stifanelli 0832-443900 - 339-8767417</t>
  </si>
  <si>
    <t>Riccardo Figliolia 0805099808 - 3357053242 - 0805481801 - Vella Paolo - consulente Biancolillo angelica 3296183216, Emanuele Micunco 3333257535</t>
  </si>
  <si>
    <t>IBAN</t>
  </si>
  <si>
    <t>IT93P0701204000000000035837</t>
  </si>
  <si>
    <t>Chiarelli Giuseppe 080 5210425 337-262751 fax 080-5283311 Loiudice Maria Luisa 080 5026505 Maria Teresa Gigante 0805210425</t>
  </si>
  <si>
    <t>alla firma</t>
  </si>
  <si>
    <t>IT77P0101004015000027026818</t>
  </si>
  <si>
    <t xml:space="preserve">IT55 Z010 3004 0040 0000 0501 037  </t>
  </si>
  <si>
    <t>IT27W0103004000000004334868</t>
  </si>
  <si>
    <t xml:space="preserve">IT 27 W 01030 040000 000004334868
</t>
  </si>
  <si>
    <t>0832-317152 - 312857(sig.ra Basile) - Vinicio Russo Soin2000 consl. 0832-217504; 328-3875709</t>
  </si>
  <si>
    <t>Chiarelli Giuseppe 080 5210425 fax 080-5283311 Loiudice Maria Luisa 080 5026505 Maria Teresa Gigante 0805210425 anna grassi 080,5026505</t>
  </si>
  <si>
    <t>IT73 B010 1016 0041 0000 0011 290</t>
  </si>
  <si>
    <t>Notifica</t>
  </si>
  <si>
    <t>Accettazione</t>
  </si>
  <si>
    <t>Comune di Bari</t>
  </si>
  <si>
    <t>Giannaccari 0832-263069 3471758993</t>
  </si>
  <si>
    <t>IT 73 E 01030 79980 000001023400</t>
  </si>
  <si>
    <t xml:space="preserve">Sergio Annese  348-8701014 - Manlio Cassandro 0883-534045 - 335-6277101 ARA 080/4054482 </t>
  </si>
  <si>
    <t>IT58T0103041630000005359005</t>
  </si>
  <si>
    <t>CNA 080-5486931 fax: 080-5486939 -Samanta Di Comite 3472417022</t>
  </si>
  <si>
    <t>01/12/2008
10:00</t>
  </si>
  <si>
    <t>06/11/2008
01/12/2008</t>
  </si>
  <si>
    <t>Visita in loco
e chiusura</t>
  </si>
  <si>
    <t>---</t>
  </si>
  <si>
    <t>Verbale</t>
  </si>
  <si>
    <t>X</t>
  </si>
  <si>
    <t>Ok 
Ok
Ok</t>
  </si>
  <si>
    <t>25/11/2008
15/12/2008</t>
  </si>
  <si>
    <t>in revoca</t>
  </si>
  <si>
    <t>Compenso Base</t>
  </si>
  <si>
    <t>CONTRIBUTO DA EROGARE o DISIMPEGARE</t>
  </si>
  <si>
    <t>IT21M0322604000000004290869</t>
  </si>
  <si>
    <t>CONTRIBUTO SU SPESA / 
TOT CONTR CON IVA</t>
  </si>
  <si>
    <t>Ict e conoscenza per la competitività internazionale dell'Area Metropolitana di Bari 6,2 az b</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</si>
</sst>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0.00000"/>
    <numFmt numFmtId="167" formatCode="0.000"/>
    <numFmt numFmtId="168" formatCode="0.0%"/>
    <numFmt numFmtId="169" formatCode="0.0"/>
    <numFmt numFmtId="170" formatCode="#,##0.0"/>
    <numFmt numFmtId="171" formatCode="#,##0.000"/>
    <numFmt numFmtId="172" formatCode="#,##0.0000"/>
    <numFmt numFmtId="173" formatCode="#,##0.00000"/>
    <numFmt numFmtId="174" formatCode="#,##0.000000"/>
    <numFmt numFmtId="175" formatCode="_-* #,##0.0_-;\-* #,##0.0_-;_-* &quot;-&quot;_-;_-@_-"/>
    <numFmt numFmtId="176" formatCode="_-[$€-2]\ * #,##0.00_-;\-[$€-2]\ * #,##0.00_-;_-[$€-2]\ * &quot;-&quot;??_-"/>
    <numFmt numFmtId="177" formatCode="#,##0.00;[Red]#,##0.00"/>
    <numFmt numFmtId="178" formatCode="dd/mm/yy;@"/>
    <numFmt numFmtId="179" formatCode="d/m/yyyy"/>
    <numFmt numFmtId="180" formatCode="0.000;[Red]0.000"/>
    <numFmt numFmtId="181" formatCode="dd/mm/yy"/>
    <numFmt numFmtId="182" formatCode="_-* #,##0_-;\-* #,##0_-;_-* &quot;-&quot;??_-;_-@_-"/>
    <numFmt numFmtId="183" formatCode="d/m/yy"/>
  </numFmts>
  <fonts count="88">
    <font>
      <sz val="10"/>
      <name val="Arial"/>
      <family val="0"/>
    </font>
    <font>
      <sz val="8"/>
      <name val="Arial"/>
      <family val="2"/>
    </font>
    <font>
      <b/>
      <sz val="10"/>
      <name val="Arial"/>
      <family val="2"/>
    </font>
    <font>
      <b/>
      <sz val="8"/>
      <name val="Arial"/>
      <family val="2"/>
    </font>
    <font>
      <sz val="8"/>
      <color indexed="10"/>
      <name val="Arial"/>
      <family val="2"/>
    </font>
    <font>
      <b/>
      <sz val="8"/>
      <color indexed="10"/>
      <name val="Arial"/>
      <family val="2"/>
    </font>
    <font>
      <sz val="8"/>
      <name val="Tahoma"/>
      <family val="0"/>
    </font>
    <font>
      <b/>
      <sz val="8"/>
      <name val="Tahoma"/>
      <family val="0"/>
    </font>
    <font>
      <b/>
      <sz val="8"/>
      <color indexed="57"/>
      <name val="Arial"/>
      <family val="2"/>
    </font>
    <font>
      <sz val="8"/>
      <color indexed="57"/>
      <name val="Arial"/>
      <family val="2"/>
    </font>
    <font>
      <sz val="8"/>
      <color indexed="17"/>
      <name val="Arial"/>
      <family val="2"/>
    </font>
    <font>
      <b/>
      <sz val="8"/>
      <color indexed="17"/>
      <name val="Arial"/>
      <family val="2"/>
    </font>
    <font>
      <b/>
      <sz val="7"/>
      <name val="Arial"/>
      <family val="2"/>
    </font>
    <font>
      <u val="single"/>
      <sz val="10"/>
      <color indexed="12"/>
      <name val="Arial"/>
      <family val="0"/>
    </font>
    <font>
      <u val="single"/>
      <sz val="10"/>
      <color indexed="36"/>
      <name val="Arial"/>
      <family val="0"/>
    </font>
    <font>
      <b/>
      <sz val="8"/>
      <color indexed="21"/>
      <name val="Arial"/>
      <family val="2"/>
    </font>
    <font>
      <b/>
      <sz val="8"/>
      <color indexed="48"/>
      <name val="Arial"/>
      <family val="2"/>
    </font>
    <font>
      <sz val="8"/>
      <color indexed="48"/>
      <name val="Arial"/>
      <family val="2"/>
    </font>
    <font>
      <sz val="7"/>
      <color indexed="48"/>
      <name val="Arial"/>
      <family val="2"/>
    </font>
    <font>
      <b/>
      <sz val="7"/>
      <color indexed="10"/>
      <name val="Arial"/>
      <family val="2"/>
    </font>
    <font>
      <sz val="7"/>
      <name val="Arial"/>
      <family val="0"/>
    </font>
    <font>
      <sz val="8"/>
      <color indexed="8"/>
      <name val="Arial"/>
      <family val="2"/>
    </font>
    <font>
      <sz val="8"/>
      <name val="Times New Roman"/>
      <family val="1"/>
    </font>
    <font>
      <sz val="9"/>
      <name val="Times New Roman"/>
      <family val="1"/>
    </font>
    <font>
      <sz val="8"/>
      <name val="Times"/>
      <family val="0"/>
    </font>
    <font>
      <sz val="8"/>
      <name val="N129"/>
      <family val="0"/>
    </font>
    <font>
      <sz val="8"/>
      <color indexed="10"/>
      <name val="N129"/>
      <family val="0"/>
    </font>
    <font>
      <sz val="7"/>
      <color indexed="57"/>
      <name val="Arial"/>
      <family val="2"/>
    </font>
    <font>
      <b/>
      <sz val="8"/>
      <color indexed="21"/>
      <name val="Times"/>
      <family val="0"/>
    </font>
    <font>
      <sz val="7"/>
      <color indexed="8"/>
      <name val="Arial"/>
      <family val="2"/>
    </font>
    <font>
      <sz val="8"/>
      <color indexed="63"/>
      <name val="Arial"/>
      <family val="2"/>
    </font>
    <font>
      <b/>
      <sz val="8"/>
      <color indexed="12"/>
      <name val="Arial"/>
      <family val="2"/>
    </font>
    <font>
      <sz val="10"/>
      <color indexed="10"/>
      <name val="Arial"/>
      <family val="2"/>
    </font>
    <font>
      <sz val="7"/>
      <color indexed="17"/>
      <name val="Arial"/>
      <family val="2"/>
    </font>
    <font>
      <sz val="12"/>
      <name val="Times New Roman"/>
      <family val="1"/>
    </font>
    <font>
      <b/>
      <sz val="12"/>
      <name val="Arial"/>
      <family val="2"/>
    </font>
    <font>
      <i/>
      <sz val="8"/>
      <color indexed="10"/>
      <name val="Arial"/>
      <family val="2"/>
    </font>
    <font>
      <b/>
      <i/>
      <sz val="8"/>
      <color indexed="10"/>
      <name val="Arial"/>
      <family val="2"/>
    </font>
    <font>
      <sz val="7"/>
      <color indexed="10"/>
      <name val="Arial"/>
      <family val="2"/>
    </font>
    <font>
      <b/>
      <sz val="10"/>
      <color indexed="10"/>
      <name val="Arial"/>
      <family val="2"/>
    </font>
    <font>
      <sz val="8"/>
      <color indexed="21"/>
      <name val="Arial"/>
      <family val="2"/>
    </font>
    <font>
      <u val="single"/>
      <sz val="8"/>
      <color indexed="12"/>
      <name val="Arial"/>
      <family val="2"/>
    </font>
    <font>
      <sz val="8"/>
      <color indexed="12"/>
      <name val="Arial"/>
      <family val="2"/>
    </font>
    <font>
      <sz val="9"/>
      <name val="Arial"/>
      <family val="2"/>
    </font>
    <font>
      <b/>
      <sz val="9"/>
      <name val="Arial"/>
      <family val="2"/>
    </font>
    <font>
      <sz val="7"/>
      <name val="Tahoma"/>
      <family val="2"/>
    </font>
    <font>
      <u val="single"/>
      <sz val="8"/>
      <color indexed="10"/>
      <name val="Arial"/>
      <family val="2"/>
    </font>
    <font>
      <b/>
      <sz val="10"/>
      <name val="Times New Roman"/>
      <family val="1"/>
    </font>
    <font>
      <sz val="9"/>
      <name val="Tahoma"/>
      <family val="2"/>
    </font>
    <font>
      <b/>
      <sz val="11"/>
      <name val="Tahoma"/>
      <family val="2"/>
    </font>
    <font>
      <b/>
      <sz val="9"/>
      <name val="Tahoma"/>
      <family val="2"/>
    </font>
    <font>
      <b/>
      <sz val="9"/>
      <color indexed="10"/>
      <name val="Tahoma"/>
      <family val="2"/>
    </font>
    <font>
      <sz val="11"/>
      <name val="Tahoma"/>
      <family val="2"/>
    </font>
    <font>
      <b/>
      <sz val="10"/>
      <color indexed="21"/>
      <name val="Times New Roman"/>
      <family val="1"/>
    </font>
    <font>
      <b/>
      <sz val="10"/>
      <color indexed="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30"/>
      <name val="Arial"/>
      <family val="2"/>
    </font>
    <font>
      <b/>
      <sz val="7"/>
      <color indexed="30"/>
      <name val="Arial"/>
      <family val="2"/>
    </font>
    <font>
      <sz val="7"/>
      <color indexed="8"/>
      <name val="Calibri"/>
      <family val="2"/>
    </font>
    <font>
      <b/>
      <sz val="7"/>
      <color indexed="60"/>
      <name val="Arial"/>
      <family val="2"/>
    </font>
    <font>
      <b/>
      <sz val="7"/>
      <color indexed="8"/>
      <name val="Calibri"/>
      <family val="2"/>
    </font>
    <font>
      <sz val="7"/>
      <name val="Calibri"/>
      <family val="2"/>
    </font>
    <font>
      <b/>
      <sz val="8"/>
      <color indexed="50"/>
      <name val="Arial"/>
      <family val="2"/>
    </font>
    <font>
      <sz val="8"/>
      <color indexed="50"/>
      <name val="Arial"/>
      <family val="2"/>
    </font>
    <font>
      <sz val="8"/>
      <color indexed="40"/>
      <name val="Arial"/>
      <family val="2"/>
    </font>
    <font>
      <u val="single"/>
      <sz val="10"/>
      <color indexed="17"/>
      <name val="Arial"/>
      <family val="2"/>
    </font>
    <font>
      <u val="single"/>
      <sz val="8"/>
      <color indexed="17"/>
      <name val="Arial"/>
      <family val="2"/>
    </font>
    <font>
      <u val="single"/>
      <sz val="8"/>
      <color indexed="50"/>
      <name val="Arial"/>
      <family val="2"/>
    </font>
    <font>
      <u val="single"/>
      <sz val="8"/>
      <name val="Arial"/>
      <family val="2"/>
    </font>
    <font>
      <b/>
      <sz val="10"/>
      <color indexed="57"/>
      <name val="Arial"/>
      <family val="2"/>
    </font>
    <font>
      <sz val="8"/>
      <color indexed="53"/>
      <name val="Arial"/>
      <family val="2"/>
    </font>
    <font>
      <b/>
      <i/>
      <sz val="8"/>
      <color indexed="2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40"/>
        <bgColor indexed="64"/>
      </patternFill>
    </fill>
    <fill>
      <patternFill patternType="solid">
        <fgColor indexed="54"/>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color indexed="63"/>
      </top>
      <bottom style="thin"/>
    </border>
    <border>
      <left style="hair"/>
      <right>
        <color indexed="63"/>
      </right>
      <top style="hair"/>
      <bottom style="hair"/>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7" fillId="16" borderId="1" applyNumberFormat="0" applyAlignment="0" applyProtection="0"/>
    <xf numFmtId="0" fontId="58" fillId="0" borderId="2" applyNumberFormat="0" applyFill="0" applyAlignment="0" applyProtection="0"/>
    <xf numFmtId="0" fontId="59"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21" borderId="0" applyNumberFormat="0" applyBorder="0" applyAlignment="0" applyProtection="0"/>
    <xf numFmtId="176" fontId="0" fillId="0" borderId="0" applyFont="0" applyFill="0" applyBorder="0" applyAlignment="0" applyProtection="0"/>
    <xf numFmtId="0" fontId="6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2" borderId="0" applyNumberFormat="0" applyBorder="0" applyAlignment="0" applyProtection="0"/>
    <xf numFmtId="0" fontId="55" fillId="0" borderId="0">
      <alignment/>
      <protection/>
    </xf>
    <xf numFmtId="0" fontId="55" fillId="23" borderId="4" applyNumberFormat="0" applyFont="0" applyAlignment="0" applyProtection="0"/>
    <xf numFmtId="0" fontId="62" fillId="16"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 borderId="0" applyNumberFormat="0" applyBorder="0" applyAlignment="0" applyProtection="0"/>
    <xf numFmtId="0" fontId="71"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39">
    <xf numFmtId="0" fontId="0" fillId="0" borderId="0" xfId="0" applyAlignment="1">
      <alignment/>
    </xf>
    <xf numFmtId="0" fontId="3" fillId="0" borderId="0" xfId="0" applyFont="1" applyFill="1" applyBorder="1" applyAlignment="1">
      <alignment horizontal="center" vertical="top" wrapText="1"/>
    </xf>
    <xf numFmtId="167" fontId="3" fillId="0" borderId="0" xfId="0" applyNumberFormat="1" applyFont="1" applyFill="1" applyBorder="1" applyAlignment="1" applyProtection="1">
      <alignment horizontal="center" vertical="top" textRotation="90" wrapText="1"/>
      <protection locked="0"/>
    </xf>
    <xf numFmtId="167" fontId="3" fillId="0" borderId="0" xfId="0" applyNumberFormat="1" applyFont="1" applyFill="1" applyBorder="1" applyAlignment="1">
      <alignment horizontal="center" vertical="top" wrapText="1"/>
    </xf>
    <xf numFmtId="10" fontId="3" fillId="0" borderId="0" xfId="0" applyNumberFormat="1" applyFont="1" applyFill="1" applyBorder="1" applyAlignment="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wrapText="1"/>
      <protection locked="0"/>
    </xf>
    <xf numFmtId="9" fontId="3" fillId="0" borderId="0" xfId="0" applyNumberFormat="1" applyFont="1" applyFill="1" applyBorder="1" applyAlignment="1" applyProtection="1">
      <alignment horizontal="center" vertical="top" wrapText="1"/>
      <protection/>
    </xf>
    <xf numFmtId="169" fontId="1"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vertical="top" wrapText="1"/>
      <protection/>
    </xf>
    <xf numFmtId="169" fontId="3" fillId="0" borderId="0" xfId="0" applyNumberFormat="1" applyFont="1" applyFill="1" applyBorder="1" applyAlignment="1" applyProtection="1">
      <alignment vertical="top" wrapText="1"/>
      <protection/>
    </xf>
    <xf numFmtId="9" fontId="3" fillId="0" borderId="0" xfId="0" applyNumberFormat="1" applyFont="1" applyFill="1" applyBorder="1" applyAlignment="1" applyProtection="1">
      <alignment vertical="top" wrapText="1"/>
      <protection/>
    </xf>
    <xf numFmtId="9" fontId="3" fillId="0" borderId="0" xfId="0" applyNumberFormat="1" applyFont="1" applyFill="1" applyBorder="1" applyAlignment="1">
      <alignment vertical="top" wrapText="1"/>
    </xf>
    <xf numFmtId="167" fontId="3"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171"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3" fontId="3" fillId="0" borderId="0" xfId="0" applyNumberFormat="1" applyFont="1" applyFill="1" applyBorder="1" applyAlignment="1" applyProtection="1">
      <alignment vertical="top" wrapText="1"/>
      <protection locked="0"/>
    </xf>
    <xf numFmtId="0" fontId="1" fillId="0" borderId="0" xfId="0" applyFont="1" applyFill="1" applyBorder="1" applyAlignment="1">
      <alignment vertical="top" wrapText="1"/>
    </xf>
    <xf numFmtId="167"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167" fontId="1" fillId="0" borderId="0" xfId="0" applyNumberFormat="1" applyFont="1" applyFill="1" applyBorder="1" applyAlignment="1">
      <alignment vertical="top" wrapText="1"/>
    </xf>
    <xf numFmtId="1" fontId="3" fillId="0" borderId="0" xfId="0" applyNumberFormat="1" applyFont="1" applyFill="1" applyBorder="1" applyAlignment="1">
      <alignment vertical="top" wrapText="1"/>
    </xf>
    <xf numFmtId="0" fontId="5" fillId="0" borderId="0" xfId="0" applyFont="1" applyFill="1" applyBorder="1" applyAlignment="1" applyProtection="1">
      <alignment horizontal="center" vertical="top" wrapText="1"/>
      <protection locked="0"/>
    </xf>
    <xf numFmtId="9" fontId="5" fillId="0" borderId="0" xfId="0" applyNumberFormat="1" applyFont="1" applyFill="1" applyBorder="1" applyAlignment="1" applyProtection="1">
      <alignment horizontal="center" vertical="top" wrapText="1"/>
      <protection/>
    </xf>
    <xf numFmtId="2"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41" fontId="3" fillId="0" borderId="0" xfId="47" applyFont="1" applyFill="1" applyBorder="1" applyAlignment="1">
      <alignment vertical="top" wrapText="1"/>
    </xf>
    <xf numFmtId="9" fontId="3" fillId="0" borderId="0" xfId="52" applyFont="1" applyFill="1" applyBorder="1" applyAlignment="1">
      <alignment vertical="top" wrapText="1"/>
    </xf>
    <xf numFmtId="0" fontId="1" fillId="0" borderId="0" xfId="0" applyNumberFormat="1" applyFont="1" applyFill="1" applyBorder="1" applyAlignment="1">
      <alignment vertical="top" wrapText="1"/>
    </xf>
    <xf numFmtId="3" fontId="3" fillId="0" borderId="0" xfId="0" applyNumberFormat="1" applyFont="1" applyFill="1" applyBorder="1" applyAlignment="1">
      <alignment vertical="top" wrapText="1"/>
    </xf>
    <xf numFmtId="4" fontId="3" fillId="0" borderId="0" xfId="0" applyNumberFormat="1" applyFont="1" applyFill="1" applyBorder="1" applyAlignment="1">
      <alignment vertical="top" wrapText="1"/>
    </xf>
    <xf numFmtId="4" fontId="5"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1" fillId="0" borderId="0" xfId="47" applyNumberFormat="1" applyFont="1" applyFill="1" applyBorder="1" applyAlignment="1">
      <alignment vertical="top" wrapText="1"/>
    </xf>
    <xf numFmtId="167" fontId="5" fillId="0" borderId="0" xfId="0" applyNumberFormat="1" applyFont="1" applyFill="1" applyBorder="1" applyAlignment="1" applyProtection="1">
      <alignment horizontal="center" vertical="top" wrapText="1"/>
      <protection locked="0"/>
    </xf>
    <xf numFmtId="167" fontId="1" fillId="0" borderId="0" xfId="47" applyNumberFormat="1" applyFont="1" applyFill="1" applyBorder="1" applyAlignment="1">
      <alignment vertical="top" wrapText="1"/>
    </xf>
    <xf numFmtId="4" fontId="5" fillId="0" borderId="0" xfId="0" applyNumberFormat="1" applyFont="1" applyFill="1" applyBorder="1" applyAlignment="1" applyProtection="1">
      <alignment horizontal="center" vertical="top" wrapText="1"/>
      <protection/>
    </xf>
    <xf numFmtId="4" fontId="3" fillId="0" borderId="0" xfId="0" applyNumberFormat="1" applyFont="1" applyFill="1" applyBorder="1" applyAlignment="1" applyProtection="1">
      <alignment vertical="top" wrapText="1"/>
      <protection/>
    </xf>
    <xf numFmtId="170" fontId="3" fillId="0" borderId="0" xfId="0" applyNumberFormat="1" applyFont="1" applyFill="1" applyBorder="1" applyAlignment="1" applyProtection="1">
      <alignment vertical="top" wrapText="1"/>
      <protection locked="0"/>
    </xf>
    <xf numFmtId="169" fontId="1" fillId="0" borderId="0" xfId="0" applyNumberFormat="1" applyFont="1" applyFill="1" applyBorder="1" applyAlignment="1" applyProtection="1">
      <alignment vertical="top" wrapText="1"/>
      <protection locked="0"/>
    </xf>
    <xf numFmtId="169" fontId="3" fillId="0" borderId="0" xfId="0" applyNumberFormat="1" applyFont="1" applyFill="1" applyBorder="1" applyAlignment="1" applyProtection="1">
      <alignment vertical="top" wrapText="1"/>
      <protection locked="0"/>
    </xf>
    <xf numFmtId="1" fontId="8" fillId="0" borderId="0" xfId="0" applyNumberFormat="1" applyFont="1" applyFill="1" applyBorder="1" applyAlignment="1" applyProtection="1">
      <alignment horizontal="center" vertical="top" wrapText="1"/>
      <protection locked="0"/>
    </xf>
    <xf numFmtId="169" fontId="8" fillId="0" borderId="0" xfId="0" applyNumberFormat="1" applyFont="1" applyFill="1" applyBorder="1" applyAlignment="1" applyProtection="1">
      <alignment horizontal="center" vertical="top" wrapText="1"/>
      <protection locked="0"/>
    </xf>
    <xf numFmtId="170" fontId="8" fillId="0" borderId="0" xfId="0" applyNumberFormat="1"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170" fontId="1" fillId="0" borderId="0" xfId="0" applyNumberFormat="1" applyFont="1" applyFill="1" applyBorder="1" applyAlignment="1" applyProtection="1">
      <alignment vertical="top" wrapText="1"/>
      <protection locked="0"/>
    </xf>
    <xf numFmtId="0" fontId="0" fillId="0" borderId="0" xfId="0" applyAlignment="1">
      <alignment vertical="top" wrapText="1"/>
    </xf>
    <xf numFmtId="3" fontId="12" fillId="0" borderId="0" xfId="0" applyNumberFormat="1" applyFont="1" applyFill="1" applyBorder="1" applyAlignment="1">
      <alignment horizontal="center" vertical="top" wrapText="1"/>
    </xf>
    <xf numFmtId="4" fontId="8" fillId="0" borderId="0" xfId="0" applyNumberFormat="1" applyFont="1" applyFill="1" applyBorder="1" applyAlignment="1" applyProtection="1">
      <alignment horizontal="center" vertical="top" wrapText="1"/>
      <protection locked="0"/>
    </xf>
    <xf numFmtId="4" fontId="1" fillId="0" borderId="0" xfId="0" applyNumberFormat="1" applyFont="1" applyFill="1" applyBorder="1" applyAlignment="1" applyProtection="1">
      <alignment vertical="top" wrapText="1"/>
      <protection locked="0"/>
    </xf>
    <xf numFmtId="4" fontId="8" fillId="0" borderId="0" xfId="0" applyNumberFormat="1" applyFont="1" applyFill="1" applyBorder="1" applyAlignment="1" applyProtection="1">
      <alignment horizontal="center" vertical="top" wrapText="1"/>
      <protection/>
    </xf>
    <xf numFmtId="175" fontId="8" fillId="0" borderId="0" xfId="47" applyNumberFormat="1" applyFont="1" applyFill="1" applyBorder="1" applyAlignment="1" applyProtection="1">
      <alignment horizontal="center" vertical="top" wrapText="1"/>
      <protection locked="0"/>
    </xf>
    <xf numFmtId="170" fontId="3" fillId="24" borderId="0" xfId="0" applyNumberFormat="1" applyFont="1" applyFill="1" applyBorder="1" applyAlignment="1" applyProtection="1">
      <alignment horizontal="center" vertical="top" wrapText="1"/>
      <protection locked="0"/>
    </xf>
    <xf numFmtId="0" fontId="17" fillId="0" borderId="0" xfId="0" applyFont="1" applyFill="1" applyBorder="1" applyAlignment="1">
      <alignment vertical="top" wrapText="1"/>
    </xf>
    <xf numFmtId="3" fontId="17" fillId="0" borderId="0" xfId="0" applyNumberFormat="1" applyFont="1" applyFill="1" applyBorder="1" applyAlignment="1" applyProtection="1">
      <alignment vertical="top" wrapText="1"/>
      <protection locked="0"/>
    </xf>
    <xf numFmtId="170" fontId="16" fillId="0" borderId="0" xfId="0" applyNumberFormat="1" applyFont="1" applyFill="1" applyBorder="1" applyAlignment="1" applyProtection="1">
      <alignment vertical="top" wrapText="1"/>
      <protection locked="0"/>
    </xf>
    <xf numFmtId="4" fontId="16" fillId="0" borderId="0" xfId="44" applyNumberFormat="1" applyFont="1" applyFill="1" applyBorder="1" applyAlignment="1" applyProtection="1">
      <alignment vertical="top" wrapText="1"/>
      <protection locked="0"/>
    </xf>
    <xf numFmtId="175" fontId="16" fillId="0" borderId="0" xfId="47" applyNumberFormat="1" applyFont="1" applyFill="1" applyBorder="1" applyAlignment="1" applyProtection="1">
      <alignment vertical="top" wrapText="1"/>
      <protection locked="0"/>
    </xf>
    <xf numFmtId="170" fontId="16" fillId="0" borderId="0" xfId="0" applyNumberFormat="1" applyFont="1" applyFill="1" applyBorder="1" applyAlignment="1" applyProtection="1">
      <alignment vertical="top" wrapText="1"/>
      <protection/>
    </xf>
    <xf numFmtId="4" fontId="17" fillId="0" borderId="0" xfId="0" applyNumberFormat="1" applyFont="1" applyFill="1" applyBorder="1" applyAlignment="1">
      <alignment vertical="top" wrapText="1"/>
    </xf>
    <xf numFmtId="4" fontId="1" fillId="0" borderId="0" xfId="0" applyNumberFormat="1" applyFont="1" applyFill="1" applyBorder="1" applyAlignment="1">
      <alignment horizontal="center" vertical="top" wrapText="1"/>
    </xf>
    <xf numFmtId="0" fontId="1" fillId="0" borderId="0" xfId="0" applyFont="1" applyAlignment="1">
      <alignment/>
    </xf>
    <xf numFmtId="4" fontId="16" fillId="0" borderId="0" xfId="0" applyNumberFormat="1" applyFont="1" applyFill="1" applyBorder="1" applyAlignment="1" applyProtection="1">
      <alignment vertical="top" wrapText="1"/>
      <protection locked="0"/>
    </xf>
    <xf numFmtId="0" fontId="1" fillId="25" borderId="0" xfId="0" applyFont="1" applyFill="1" applyBorder="1" applyAlignment="1">
      <alignment horizontal="center" vertical="top" wrapText="1"/>
    </xf>
    <xf numFmtId="4" fontId="1" fillId="25" borderId="0" xfId="0" applyNumberFormat="1" applyFont="1" applyFill="1" applyBorder="1" applyAlignment="1">
      <alignment horizontal="center" vertical="top" wrapText="1"/>
    </xf>
    <xf numFmtId="0" fontId="1" fillId="26" borderId="0" xfId="0" applyFont="1" applyFill="1" applyBorder="1" applyAlignment="1">
      <alignment horizontal="center" vertical="top" wrapText="1"/>
    </xf>
    <xf numFmtId="4" fontId="3" fillId="25" borderId="0" xfId="0" applyNumberFormat="1" applyFont="1" applyFill="1" applyBorder="1" applyAlignment="1">
      <alignment horizontal="center" vertical="top" wrapText="1"/>
    </xf>
    <xf numFmtId="4" fontId="3" fillId="26" borderId="0" xfId="0" applyNumberFormat="1" applyFont="1" applyFill="1" applyBorder="1" applyAlignment="1">
      <alignment horizontal="center" vertical="top" wrapText="1"/>
    </xf>
    <xf numFmtId="4" fontId="3" fillId="4" borderId="0" xfId="0" applyNumberFormat="1" applyFont="1" applyFill="1" applyBorder="1" applyAlignment="1">
      <alignment horizontal="center" vertical="top" wrapText="1"/>
    </xf>
    <xf numFmtId="178" fontId="3" fillId="4" borderId="0" xfId="0" applyNumberFormat="1" applyFont="1" applyFill="1" applyBorder="1" applyAlignment="1">
      <alignment horizontal="center" vertical="top" wrapText="1"/>
    </xf>
    <xf numFmtId="178" fontId="1" fillId="0" borderId="0" xfId="0" applyNumberFormat="1" applyFont="1" applyFill="1" applyBorder="1" applyAlignment="1">
      <alignment horizontal="center" vertical="top" wrapText="1"/>
    </xf>
    <xf numFmtId="178" fontId="17" fillId="0" borderId="0" xfId="0" applyNumberFormat="1" applyFont="1" applyFill="1" applyBorder="1" applyAlignment="1">
      <alignment vertical="top" wrapText="1"/>
    </xf>
    <xf numFmtId="14" fontId="17" fillId="0" borderId="0" xfId="0" applyNumberFormat="1" applyFont="1" applyFill="1" applyBorder="1" applyAlignment="1">
      <alignment vertical="top" wrapText="1"/>
    </xf>
    <xf numFmtId="0" fontId="12" fillId="22" borderId="0" xfId="0" applyFont="1" applyFill="1" applyBorder="1" applyAlignment="1">
      <alignment horizontal="center" vertical="top" wrapText="1"/>
    </xf>
    <xf numFmtId="0" fontId="12" fillId="4" borderId="0" xfId="0" applyFont="1" applyFill="1" applyBorder="1" applyAlignment="1">
      <alignment horizontal="center" vertical="top" wrapText="1"/>
    </xf>
    <xf numFmtId="0" fontId="5" fillId="22" borderId="0" xfId="0" applyFont="1" applyFill="1" applyBorder="1" applyAlignment="1" applyProtection="1">
      <alignment horizontal="center" vertical="top" wrapText="1"/>
      <protection locked="0"/>
    </xf>
    <xf numFmtId="1" fontId="9" fillId="0" borderId="0" xfId="0" applyNumberFormat="1" applyFont="1" applyFill="1" applyBorder="1" applyAlignment="1" applyProtection="1">
      <alignment horizontal="center" vertical="top" wrapText="1"/>
      <protection/>
    </xf>
    <xf numFmtId="4" fontId="15" fillId="0" borderId="0" xfId="0" applyNumberFormat="1" applyFont="1" applyAlignment="1">
      <alignment vertical="top" wrapText="1"/>
    </xf>
    <xf numFmtId="1" fontId="16" fillId="0" borderId="0" xfId="47" applyNumberFormat="1" applyFont="1" applyFill="1" applyBorder="1" applyAlignment="1" applyProtection="1">
      <alignment horizontal="center" vertical="top" wrapText="1"/>
      <protection locked="0"/>
    </xf>
    <xf numFmtId="1" fontId="0" fillId="0" borderId="0" xfId="0" applyNumberFormat="1" applyAlignment="1">
      <alignment horizontal="center" vertical="top" wrapText="1"/>
    </xf>
    <xf numFmtId="170" fontId="1" fillId="0" borderId="0" xfId="47" applyNumberFormat="1" applyFont="1" applyFill="1" applyBorder="1" applyAlignment="1" applyProtection="1">
      <alignment vertical="top" wrapText="1"/>
      <protection locked="0"/>
    </xf>
    <xf numFmtId="0" fontId="1" fillId="0" borderId="0" xfId="0" applyFont="1" applyAlignment="1">
      <alignment vertical="top" wrapText="1"/>
    </xf>
    <xf numFmtId="0" fontId="19" fillId="4" borderId="0" xfId="0" applyFont="1" applyFill="1" applyBorder="1" applyAlignment="1">
      <alignment horizontal="center" vertical="top" wrapText="1"/>
    </xf>
    <xf numFmtId="0" fontId="19" fillId="8" borderId="0" xfId="0" applyFont="1" applyFill="1" applyBorder="1" applyAlignment="1">
      <alignment horizontal="center" vertical="top" wrapText="1"/>
    </xf>
    <xf numFmtId="0" fontId="12" fillId="8" borderId="0" xfId="0" applyFont="1" applyFill="1" applyBorder="1" applyAlignment="1">
      <alignment horizontal="center" vertical="top" wrapText="1"/>
    </xf>
    <xf numFmtId="0" fontId="16" fillId="3" borderId="0" xfId="0" applyFont="1" applyFill="1" applyBorder="1" applyAlignment="1" applyProtection="1">
      <alignment vertical="top" wrapText="1"/>
      <protection/>
    </xf>
    <xf numFmtId="4" fontId="16" fillId="3" borderId="0" xfId="0" applyNumberFormat="1" applyFont="1" applyFill="1" applyBorder="1" applyAlignment="1" applyProtection="1">
      <alignment vertical="top" wrapText="1"/>
      <protection locked="0"/>
    </xf>
    <xf numFmtId="0" fontId="2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3" fontId="16" fillId="0" borderId="0" xfId="0" applyNumberFormat="1" applyFont="1" applyFill="1" applyBorder="1" applyAlignment="1" applyProtection="1">
      <alignment vertical="top" wrapText="1"/>
      <protection locked="0"/>
    </xf>
    <xf numFmtId="4" fontId="16" fillId="0" borderId="0" xfId="0" applyNumberFormat="1" applyFont="1" applyFill="1" applyBorder="1" applyAlignment="1">
      <alignment vertical="top" wrapText="1"/>
    </xf>
    <xf numFmtId="0" fontId="0" fillId="27" borderId="0" xfId="0" applyFill="1" applyAlignment="1">
      <alignment vertical="top" wrapText="1"/>
    </xf>
    <xf numFmtId="4" fontId="8" fillId="0" borderId="0" xfId="0" applyNumberFormat="1" applyFont="1" applyFill="1" applyBorder="1" applyAlignment="1" applyProtection="1">
      <alignment vertical="top" wrapText="1"/>
      <protection locked="0"/>
    </xf>
    <xf numFmtId="170" fontId="4"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wrapText="1"/>
      <protection/>
    </xf>
    <xf numFmtId="10" fontId="16" fillId="0" borderId="0" xfId="0" applyNumberFormat="1" applyFont="1" applyFill="1" applyBorder="1" applyAlignment="1" applyProtection="1">
      <alignment vertical="top" wrapText="1"/>
      <protection locked="0"/>
    </xf>
    <xf numFmtId="2" fontId="8" fillId="0" borderId="0" xfId="0" applyNumberFormat="1" applyFont="1" applyFill="1" applyBorder="1" applyAlignment="1" applyProtection="1">
      <alignment vertical="top" wrapText="1"/>
      <protection locked="0"/>
    </xf>
    <xf numFmtId="170" fontId="4" fillId="0" borderId="0" xfId="47" applyNumberFormat="1" applyFont="1" applyFill="1" applyBorder="1" applyAlignment="1" applyProtection="1">
      <alignment vertical="top" wrapText="1"/>
      <protection locked="0"/>
    </xf>
    <xf numFmtId="1" fontId="8" fillId="3" borderId="0" xfId="0" applyNumberFormat="1" applyFont="1" applyFill="1" applyBorder="1" applyAlignment="1" applyProtection="1">
      <alignment horizontal="center" vertical="top" wrapText="1"/>
      <protection/>
    </xf>
    <xf numFmtId="170" fontId="10" fillId="0" borderId="0" xfId="47" applyNumberFormat="1" applyFont="1" applyFill="1" applyBorder="1" applyAlignment="1" applyProtection="1">
      <alignment vertical="top" wrapText="1"/>
      <protection locked="0"/>
    </xf>
    <xf numFmtId="170" fontId="10" fillId="0" borderId="0" xfId="0" applyNumberFormat="1" applyFont="1" applyFill="1" applyBorder="1" applyAlignment="1" applyProtection="1">
      <alignment vertical="top" wrapText="1"/>
      <protection locked="0"/>
    </xf>
    <xf numFmtId="172" fontId="3" fillId="0" borderId="0" xfId="0" applyNumberFormat="1" applyFont="1" applyAlignment="1">
      <alignment/>
    </xf>
    <xf numFmtId="0" fontId="8" fillId="3"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locked="0"/>
    </xf>
    <xf numFmtId="171" fontId="1" fillId="0" borderId="0" xfId="0" applyNumberFormat="1" applyFont="1" applyFill="1" applyBorder="1" applyAlignment="1" applyProtection="1">
      <alignment vertical="top" wrapText="1"/>
      <protection locked="0"/>
    </xf>
    <xf numFmtId="171" fontId="1" fillId="0" borderId="0" xfId="47" applyNumberFormat="1" applyFont="1" applyFill="1" applyBorder="1" applyAlignment="1" applyProtection="1">
      <alignment vertical="top" wrapText="1"/>
      <protection locked="0"/>
    </xf>
    <xf numFmtId="171" fontId="1" fillId="0" borderId="0" xfId="0" applyNumberFormat="1" applyFont="1" applyAlignment="1">
      <alignment vertical="top" wrapText="1"/>
    </xf>
    <xf numFmtId="171" fontId="16" fillId="3" borderId="0" xfId="0" applyNumberFormat="1" applyFont="1" applyFill="1" applyBorder="1" applyAlignment="1" applyProtection="1">
      <alignment vertical="top" wrapText="1"/>
      <protection locked="0"/>
    </xf>
    <xf numFmtId="171" fontId="15" fillId="0" borderId="0" xfId="0" applyNumberFormat="1" applyFont="1" applyAlignment="1">
      <alignment vertical="top" wrapText="1"/>
    </xf>
    <xf numFmtId="169" fontId="1" fillId="0" borderId="0" xfId="0" applyNumberFormat="1" applyFont="1" applyBorder="1" applyAlignment="1">
      <alignment horizontal="center" vertical="top" wrapText="1"/>
    </xf>
    <xf numFmtId="169" fontId="8" fillId="3" borderId="0" xfId="0" applyNumberFormat="1" applyFont="1" applyFill="1" applyBorder="1" applyAlignment="1" applyProtection="1">
      <alignment vertical="top" wrapText="1"/>
      <protection/>
    </xf>
    <xf numFmtId="169" fontId="8" fillId="3" borderId="0" xfId="0" applyNumberFormat="1" applyFont="1" applyFill="1" applyBorder="1" applyAlignment="1" applyProtection="1">
      <alignment horizontal="center" vertical="top" wrapText="1"/>
      <protection/>
    </xf>
    <xf numFmtId="169" fontId="1" fillId="0" borderId="0" xfId="47" applyNumberFormat="1" applyFont="1" applyFill="1" applyBorder="1" applyAlignment="1" applyProtection="1">
      <alignment horizontal="center" vertical="top" wrapText="1"/>
      <protection locked="0"/>
    </xf>
    <xf numFmtId="0" fontId="11" fillId="3" borderId="0" xfId="0" applyFont="1" applyFill="1" applyBorder="1" applyAlignment="1" applyProtection="1">
      <alignment vertical="top" wrapText="1"/>
      <protection/>
    </xf>
    <xf numFmtId="0" fontId="8" fillId="3" borderId="0" xfId="0" applyFont="1" applyFill="1" applyBorder="1" applyAlignment="1" applyProtection="1">
      <alignment vertical="top" wrapText="1"/>
      <protection locked="0"/>
    </xf>
    <xf numFmtId="1" fontId="8" fillId="3" borderId="0" xfId="0" applyNumberFormat="1" applyFont="1" applyFill="1" applyBorder="1" applyAlignment="1" applyProtection="1">
      <alignment horizontal="center" vertical="top" wrapText="1"/>
      <protection locked="0"/>
    </xf>
    <xf numFmtId="171" fontId="8" fillId="0" borderId="0" xfId="0" applyNumberFormat="1" applyFont="1" applyFill="1" applyBorder="1" applyAlignment="1" applyProtection="1">
      <alignment vertical="top" wrapText="1"/>
      <protection locked="0"/>
    </xf>
    <xf numFmtId="1" fontId="16" fillId="0" borderId="0" xfId="47" applyNumberFormat="1" applyFont="1" applyFill="1" applyBorder="1" applyAlignment="1" applyProtection="1" quotePrefix="1">
      <alignment horizontal="center" vertical="top" wrapText="1"/>
      <protection locked="0"/>
    </xf>
    <xf numFmtId="0" fontId="20" fillId="0" borderId="0" xfId="0" applyFont="1" applyBorder="1" applyAlignment="1">
      <alignment vertical="top" wrapText="1"/>
    </xf>
    <xf numFmtId="0" fontId="0" fillId="0" borderId="0" xfId="0" applyBorder="1" applyAlignment="1">
      <alignment vertical="top" wrapText="1"/>
    </xf>
    <xf numFmtId="169" fontId="9" fillId="0" borderId="0" xfId="0" applyNumberFormat="1" applyFont="1" applyFill="1" applyBorder="1" applyAlignment="1" applyProtection="1">
      <alignment horizontal="center" vertical="top" wrapText="1"/>
      <protection/>
    </xf>
    <xf numFmtId="169" fontId="8" fillId="3" borderId="0" xfId="0" applyNumberFormat="1" applyFont="1" applyFill="1" applyBorder="1" applyAlignment="1" applyProtection="1">
      <alignment horizontal="center" vertical="top" wrapText="1"/>
      <protection locked="0"/>
    </xf>
    <xf numFmtId="169" fontId="16" fillId="0" borderId="0" xfId="47" applyNumberFormat="1" applyFont="1" applyFill="1" applyBorder="1" applyAlignment="1" applyProtection="1">
      <alignment horizontal="center" vertical="top" wrapText="1"/>
      <protection locked="0"/>
    </xf>
    <xf numFmtId="169" fontId="0" fillId="0" borderId="0" xfId="0" applyNumberFormat="1" applyAlignment="1">
      <alignment horizontal="center" vertical="top" wrapText="1"/>
    </xf>
    <xf numFmtId="171" fontId="15" fillId="0" borderId="0" xfId="0" applyNumberFormat="1" applyFont="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18" fillId="0" borderId="0" xfId="0" applyFont="1" applyFill="1" applyBorder="1" applyAlignment="1">
      <alignment vertical="top" wrapText="1"/>
    </xf>
    <xf numFmtId="4" fontId="17" fillId="0" borderId="0" xfId="0" applyNumberFormat="1" applyFont="1" applyFill="1" applyBorder="1" applyAlignment="1">
      <alignment horizontal="center" vertical="top" wrapText="1"/>
    </xf>
    <xf numFmtId="178" fontId="16" fillId="0" borderId="0" xfId="0" applyNumberFormat="1" applyFont="1" applyFill="1" applyBorder="1" applyAlignment="1">
      <alignment vertical="top" wrapText="1"/>
    </xf>
    <xf numFmtId="171" fontId="22" fillId="0" borderId="0" xfId="0" applyNumberFormat="1" applyFont="1" applyBorder="1" applyAlignment="1">
      <alignment horizontal="right" wrapText="1"/>
    </xf>
    <xf numFmtId="2" fontId="16" fillId="0" borderId="0" xfId="0" applyNumberFormat="1" applyFont="1" applyFill="1" applyBorder="1" applyAlignment="1" applyProtection="1">
      <alignment vertical="top" wrapText="1"/>
      <protection locked="0"/>
    </xf>
    <xf numFmtId="10" fontId="1" fillId="0" borderId="0" xfId="0" applyNumberFormat="1" applyFont="1" applyAlignment="1">
      <alignment vertical="top" wrapText="1"/>
    </xf>
    <xf numFmtId="4" fontId="23" fillId="0" borderId="0" xfId="0" applyNumberFormat="1" applyFont="1" applyBorder="1" applyAlignment="1">
      <alignment horizontal="right"/>
    </xf>
    <xf numFmtId="0" fontId="23" fillId="0" borderId="0" xfId="0" applyFont="1" applyBorder="1" applyAlignment="1">
      <alignment horizontal="right"/>
    </xf>
    <xf numFmtId="173" fontId="8" fillId="0" borderId="0" xfId="0" applyNumberFormat="1" applyFont="1" applyFill="1" applyBorder="1" applyAlignment="1" applyProtection="1">
      <alignment vertical="top" wrapText="1"/>
      <protection locked="0"/>
    </xf>
    <xf numFmtId="174" fontId="8" fillId="0" borderId="0" xfId="0" applyNumberFormat="1" applyFont="1" applyFill="1" applyBorder="1" applyAlignment="1" applyProtection="1">
      <alignment vertical="top" wrapText="1"/>
      <protection locked="0"/>
    </xf>
    <xf numFmtId="171" fontId="4" fillId="0" borderId="0" xfId="47" applyNumberFormat="1" applyFont="1" applyFill="1" applyBorder="1" applyAlignment="1" applyProtection="1">
      <alignment vertical="top" wrapText="1"/>
      <protection locked="0"/>
    </xf>
    <xf numFmtId="0" fontId="1" fillId="0" borderId="0" xfId="0" applyFont="1" applyBorder="1" applyAlignment="1">
      <alignment horizontal="center" vertical="top" wrapText="1"/>
    </xf>
    <xf numFmtId="167" fontId="24" fillId="0" borderId="0" xfId="0" applyNumberFormat="1" applyFont="1" applyBorder="1" applyAlignment="1">
      <alignment horizontal="right" vertical="top" wrapText="1"/>
    </xf>
    <xf numFmtId="0" fontId="25" fillId="0" borderId="0" xfId="0" applyFont="1" applyBorder="1" applyAlignment="1">
      <alignment horizontal="right" vertical="top" wrapText="1"/>
    </xf>
    <xf numFmtId="166" fontId="8" fillId="0" borderId="0" xfId="0" applyNumberFormat="1" applyFont="1" applyFill="1" applyBorder="1" applyAlignment="1" applyProtection="1">
      <alignment vertical="top" wrapText="1"/>
      <protection locked="0"/>
    </xf>
    <xf numFmtId="171" fontId="25" fillId="0" borderId="0" xfId="0" applyNumberFormat="1" applyFont="1" applyBorder="1" applyAlignment="1">
      <alignment horizontal="right" vertical="top" wrapText="1"/>
    </xf>
    <xf numFmtId="171" fontId="26" fillId="0" borderId="0" xfId="0" applyNumberFormat="1" applyFont="1" applyBorder="1" applyAlignment="1">
      <alignment horizontal="right" vertical="top" wrapText="1"/>
    </xf>
    <xf numFmtId="0" fontId="1" fillId="0" borderId="0" xfId="0" applyFont="1" applyBorder="1" applyAlignment="1">
      <alignment vertical="center" wrapText="1"/>
    </xf>
    <xf numFmtId="0" fontId="1" fillId="0" borderId="0" xfId="0" applyFont="1" applyAlignment="1">
      <alignment vertical="center"/>
    </xf>
    <xf numFmtId="171" fontId="16" fillId="3" borderId="0" xfId="0" applyNumberFormat="1" applyFont="1" applyFill="1" applyAlignment="1">
      <alignment vertical="top" wrapText="1"/>
    </xf>
    <xf numFmtId="4"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4" fontId="3" fillId="0" borderId="0" xfId="0" applyNumberFormat="1" applyFont="1" applyBorder="1" applyAlignment="1">
      <alignment horizontal="right" vertical="top" wrapText="1"/>
    </xf>
    <xf numFmtId="0" fontId="0" fillId="0" borderId="0" xfId="0" applyFont="1" applyAlignment="1">
      <alignment vertical="top" wrapText="1"/>
    </xf>
    <xf numFmtId="0" fontId="1" fillId="0" borderId="0" xfId="0" applyFont="1" applyAlignment="1">
      <alignment vertical="center"/>
    </xf>
    <xf numFmtId="171" fontId="16" fillId="0" borderId="0" xfId="0" applyNumberFormat="1" applyFont="1" applyBorder="1" applyAlignment="1">
      <alignment horizontal="right" vertical="top" wrapText="1"/>
    </xf>
    <xf numFmtId="171" fontId="23" fillId="0" borderId="0" xfId="0" applyNumberFormat="1" applyFont="1" applyBorder="1" applyAlignment="1">
      <alignment horizontal="right"/>
    </xf>
    <xf numFmtId="4" fontId="2" fillId="0" borderId="0" xfId="0" applyNumberFormat="1" applyFont="1" applyFill="1" applyAlignment="1">
      <alignment vertical="top" wrapText="1"/>
    </xf>
    <xf numFmtId="171" fontId="1" fillId="0" borderId="0" xfId="0" applyNumberFormat="1" applyFont="1" applyBorder="1" applyAlignment="1">
      <alignment horizontal="right"/>
    </xf>
    <xf numFmtId="172" fontId="16" fillId="3" borderId="0" xfId="0" applyNumberFormat="1" applyFont="1" applyFill="1" applyBorder="1" applyAlignment="1" applyProtection="1">
      <alignment vertical="top" wrapText="1"/>
      <protection locked="0"/>
    </xf>
    <xf numFmtId="171" fontId="16" fillId="0" borderId="0" xfId="0" applyNumberFormat="1" applyFont="1" applyFill="1" applyBorder="1" applyAlignment="1" applyProtection="1">
      <alignment vertical="top" wrapText="1"/>
      <protection locked="0"/>
    </xf>
    <xf numFmtId="0" fontId="27" fillId="0" borderId="0" xfId="0" applyFont="1" applyFill="1" applyBorder="1" applyAlignment="1" applyProtection="1">
      <alignment vertical="top"/>
      <protection locked="0"/>
    </xf>
    <xf numFmtId="2" fontId="27" fillId="0" borderId="0" xfId="0" applyNumberFormat="1" applyFont="1" applyFill="1" applyBorder="1" applyAlignment="1" applyProtection="1">
      <alignment vertical="top"/>
      <protection locked="0"/>
    </xf>
    <xf numFmtId="172" fontId="20" fillId="0" borderId="0" xfId="0" applyNumberFormat="1" applyFont="1" applyAlignment="1">
      <alignment/>
    </xf>
    <xf numFmtId="10" fontId="5" fillId="0" borderId="0" xfId="0" applyNumberFormat="1" applyFont="1" applyFill="1" applyBorder="1" applyAlignment="1" applyProtection="1">
      <alignment vertical="top" wrapText="1"/>
      <protection locked="0"/>
    </xf>
    <xf numFmtId="10" fontId="15" fillId="0" borderId="0" xfId="0" applyNumberFormat="1" applyFont="1" applyFill="1" applyBorder="1" applyAlignment="1" applyProtection="1">
      <alignment vertical="top" wrapText="1"/>
      <protection locked="0"/>
    </xf>
    <xf numFmtId="4" fontId="4" fillId="0" borderId="0" xfId="47" applyNumberFormat="1" applyFont="1" applyFill="1" applyBorder="1" applyAlignment="1" applyProtection="1">
      <alignment vertical="top" wrapText="1"/>
      <protection locked="0"/>
    </xf>
    <xf numFmtId="2" fontId="1" fillId="0" borderId="0" xfId="47" applyNumberFormat="1" applyFont="1" applyFill="1" applyBorder="1" applyAlignment="1" applyProtection="1">
      <alignment horizontal="center" vertical="top" wrapText="1"/>
      <protection locked="0"/>
    </xf>
    <xf numFmtId="171" fontId="15" fillId="0" borderId="0" xfId="0" applyNumberFormat="1" applyFont="1" applyFill="1" applyAlignment="1">
      <alignment vertical="top" wrapText="1"/>
    </xf>
    <xf numFmtId="170" fontId="4" fillId="28" borderId="0" xfId="47" applyNumberFormat="1" applyFont="1" applyFill="1" applyBorder="1" applyAlignment="1" applyProtection="1">
      <alignment vertical="top" wrapText="1"/>
      <protection locked="0"/>
    </xf>
    <xf numFmtId="0" fontId="0" fillId="0" borderId="0" xfId="0" applyFont="1" applyFill="1" applyAlignment="1">
      <alignment vertical="top" wrapText="1"/>
    </xf>
    <xf numFmtId="167" fontId="15" fillId="0" borderId="0" xfId="0" applyNumberFormat="1" applyFont="1" applyBorder="1" applyAlignment="1">
      <alignment horizontal="right" vertical="top" wrapText="1"/>
    </xf>
    <xf numFmtId="0" fontId="20" fillId="0" borderId="0" xfId="0" applyFont="1" applyAlignment="1">
      <alignment vertical="top" wrapText="1"/>
    </xf>
    <xf numFmtId="171" fontId="1" fillId="0" borderId="0" xfId="0" applyNumberFormat="1" applyFont="1" applyBorder="1" applyAlignment="1">
      <alignment horizontal="right" vertical="top" wrapText="1"/>
    </xf>
    <xf numFmtId="169" fontId="1" fillId="0" borderId="0" xfId="0" applyNumberFormat="1" applyFont="1" applyAlignment="1">
      <alignment/>
    </xf>
    <xf numFmtId="0" fontId="1" fillId="0" borderId="0" xfId="0" applyFont="1" applyBorder="1" applyAlignment="1">
      <alignment horizontal="center" vertical="center" wrapText="1"/>
    </xf>
    <xf numFmtId="0" fontId="1" fillId="0" borderId="0" xfId="0" applyFont="1" applyAlignment="1">
      <alignment horizontal="center" vertical="center"/>
    </xf>
    <xf numFmtId="171" fontId="1" fillId="0" borderId="0" xfId="0" applyNumberFormat="1" applyFont="1" applyBorder="1" applyAlignment="1">
      <alignment/>
    </xf>
    <xf numFmtId="171" fontId="16" fillId="0" borderId="0" xfId="0" applyNumberFormat="1" applyFont="1" applyAlignment="1">
      <alignment vertical="top" wrapText="1"/>
    </xf>
    <xf numFmtId="166" fontId="11" fillId="0" borderId="0" xfId="0" applyNumberFormat="1" applyFont="1" applyFill="1" applyBorder="1" applyAlignment="1" applyProtection="1">
      <alignment vertical="top" wrapText="1"/>
      <protection locked="0"/>
    </xf>
    <xf numFmtId="173" fontId="11" fillId="0" borderId="0" xfId="0" applyNumberFormat="1" applyFont="1" applyFill="1" applyBorder="1" applyAlignment="1" applyProtection="1">
      <alignment vertical="top" wrapText="1"/>
      <protection locked="0"/>
    </xf>
    <xf numFmtId="166" fontId="11" fillId="0" borderId="0" xfId="0" applyNumberFormat="1" applyFont="1" applyFill="1" applyAlignment="1">
      <alignment vertical="top" wrapText="1"/>
    </xf>
    <xf numFmtId="4" fontId="11" fillId="0" borderId="0" xfId="0" applyNumberFormat="1" applyFont="1" applyAlignment="1">
      <alignment vertical="top" wrapText="1"/>
    </xf>
    <xf numFmtId="171" fontId="28" fillId="0" borderId="0" xfId="0" applyNumberFormat="1" applyFont="1" applyBorder="1" applyAlignment="1">
      <alignment horizontal="right" vertical="top" wrapText="1"/>
    </xf>
    <xf numFmtId="172" fontId="20" fillId="20" borderId="0" xfId="0" applyNumberFormat="1" applyFont="1" applyFill="1" applyAlignment="1">
      <alignment/>
    </xf>
    <xf numFmtId="0" fontId="29" fillId="0" borderId="0" xfId="0" applyFont="1" applyFill="1" applyBorder="1" applyAlignment="1" applyProtection="1">
      <alignment vertical="top"/>
      <protection locked="0"/>
    </xf>
    <xf numFmtId="4" fontId="30" fillId="0" borderId="0" xfId="0" applyNumberFormat="1" applyFont="1" applyAlignment="1">
      <alignment vertical="top" wrapText="1"/>
    </xf>
    <xf numFmtId="2" fontId="29" fillId="0" borderId="0" xfId="0" applyNumberFormat="1" applyFont="1" applyFill="1" applyBorder="1" applyAlignment="1" applyProtection="1">
      <alignment vertical="top"/>
      <protection locked="0"/>
    </xf>
    <xf numFmtId="4" fontId="31" fillId="0" borderId="0" xfId="0" applyNumberFormat="1" applyFont="1" applyFill="1" applyBorder="1" applyAlignment="1" applyProtection="1">
      <alignment vertical="top" wrapText="1"/>
      <protection locked="0"/>
    </xf>
    <xf numFmtId="172" fontId="29" fillId="28" borderId="0" xfId="0" applyNumberFormat="1" applyFont="1" applyFill="1" applyAlignment="1">
      <alignment/>
    </xf>
    <xf numFmtId="0" fontId="29" fillId="28" borderId="0" xfId="0" applyFont="1" applyFill="1" applyBorder="1" applyAlignment="1" applyProtection="1">
      <alignment vertical="top"/>
      <protection locked="0"/>
    </xf>
    <xf numFmtId="1" fontId="16" fillId="28" borderId="0" xfId="47" applyNumberFormat="1" applyFont="1" applyFill="1" applyBorder="1" applyAlignment="1" applyProtection="1">
      <alignment horizontal="center" vertical="top" wrapText="1"/>
      <protection locked="0"/>
    </xf>
    <xf numFmtId="0" fontId="32" fillId="0" borderId="0" xfId="0" applyFont="1" applyAlignment="1">
      <alignment vertical="top" wrapText="1"/>
    </xf>
    <xf numFmtId="0" fontId="8" fillId="3" borderId="0" xfId="0" applyFont="1" applyFill="1" applyAlignment="1">
      <alignment/>
    </xf>
    <xf numFmtId="0" fontId="17" fillId="3" borderId="0" xfId="0" applyFont="1" applyFill="1" applyBorder="1" applyAlignment="1">
      <alignment vertical="top" wrapText="1"/>
    </xf>
    <xf numFmtId="169" fontId="1" fillId="0" borderId="0" xfId="47" applyNumberFormat="1" applyFont="1" applyFill="1" applyBorder="1" applyAlignment="1" applyProtection="1">
      <alignment horizontal="right" vertical="top" wrapText="1"/>
      <protection locked="0"/>
    </xf>
    <xf numFmtId="171" fontId="1" fillId="0" borderId="10" xfId="0" applyNumberFormat="1" applyFont="1" applyFill="1" applyBorder="1" applyAlignment="1" applyProtection="1">
      <alignment vertical="top" wrapText="1"/>
      <protection locked="0"/>
    </xf>
    <xf numFmtId="171" fontId="1" fillId="28" borderId="0" xfId="0" applyNumberFormat="1" applyFont="1" applyFill="1" applyBorder="1" applyAlignment="1" applyProtection="1">
      <alignment vertical="top" wrapText="1"/>
      <protection locked="0"/>
    </xf>
    <xf numFmtId="171" fontId="1" fillId="28" borderId="0" xfId="47" applyNumberFormat="1" applyFont="1" applyFill="1" applyBorder="1" applyAlignment="1" applyProtection="1">
      <alignment vertical="top" wrapText="1"/>
      <protection locked="0"/>
    </xf>
    <xf numFmtId="171" fontId="5" fillId="0" borderId="0" xfId="0" applyNumberFormat="1" applyFont="1" applyAlignment="1">
      <alignment vertical="top" wrapText="1"/>
    </xf>
    <xf numFmtId="171" fontId="4" fillId="0" borderId="0" xfId="0" applyNumberFormat="1" applyFont="1" applyFill="1" applyBorder="1" applyAlignment="1" applyProtection="1">
      <alignment vertical="top" wrapText="1"/>
      <protection locked="0"/>
    </xf>
    <xf numFmtId="171" fontId="1" fillId="28" borderId="11" xfId="47" applyNumberFormat="1" applyFont="1" applyFill="1" applyBorder="1" applyAlignment="1" applyProtection="1">
      <alignment vertical="top" wrapText="1"/>
      <protection locked="0"/>
    </xf>
    <xf numFmtId="0" fontId="1" fillId="0" borderId="0" xfId="0" applyFont="1" applyFill="1" applyAlignment="1">
      <alignment vertical="top" wrapText="1"/>
    </xf>
    <xf numFmtId="173" fontId="16" fillId="3" borderId="0" xfId="0" applyNumberFormat="1" applyFont="1" applyFill="1" applyBorder="1" applyAlignment="1" applyProtection="1">
      <alignment vertical="top" wrapText="1"/>
      <protection locked="0"/>
    </xf>
    <xf numFmtId="172" fontId="33" fillId="0" borderId="0" xfId="0" applyNumberFormat="1" applyFont="1" applyFill="1" applyAlignment="1">
      <alignment/>
    </xf>
    <xf numFmtId="171" fontId="30" fillId="0" borderId="0" xfId="0" applyNumberFormat="1" applyFont="1" applyAlignment="1">
      <alignment vertical="top" wrapText="1"/>
    </xf>
    <xf numFmtId="171" fontId="1" fillId="0" borderId="12" xfId="0" applyNumberFormat="1" applyFont="1" applyFill="1" applyBorder="1" applyAlignment="1" applyProtection="1">
      <alignment vertical="top" wrapText="1"/>
      <protection locked="0"/>
    </xf>
    <xf numFmtId="171" fontId="1" fillId="28" borderId="10" xfId="0" applyNumberFormat="1" applyFont="1" applyFill="1" applyBorder="1" applyAlignment="1" applyProtection="1">
      <alignment vertical="top" wrapText="1"/>
      <protection locked="0"/>
    </xf>
    <xf numFmtId="171" fontId="1" fillId="28" borderId="12" xfId="0" applyNumberFormat="1" applyFont="1" applyFill="1" applyBorder="1" applyAlignment="1" applyProtection="1">
      <alignment vertical="top" wrapText="1"/>
      <protection locked="0"/>
    </xf>
    <xf numFmtId="171" fontId="4" fillId="28" borderId="10" xfId="0" applyNumberFormat="1" applyFont="1" applyFill="1" applyBorder="1" applyAlignment="1" applyProtection="1">
      <alignment vertical="top" wrapText="1"/>
      <protection locked="0"/>
    </xf>
    <xf numFmtId="0" fontId="8" fillId="3" borderId="0" xfId="0" applyFont="1" applyFill="1" applyBorder="1" applyAlignment="1" applyProtection="1">
      <alignment vertical="top"/>
      <protection/>
    </xf>
    <xf numFmtId="171" fontId="1" fillId="28" borderId="10" xfId="47" applyNumberFormat="1" applyFont="1" applyFill="1" applyBorder="1" applyAlignment="1" applyProtection="1">
      <alignment vertical="top" wrapText="1"/>
      <protection locked="0"/>
    </xf>
    <xf numFmtId="0" fontId="1" fillId="0" borderId="0" xfId="0" applyFont="1" applyBorder="1" applyAlignment="1">
      <alignment horizontal="center" vertical="center"/>
    </xf>
    <xf numFmtId="0" fontId="1" fillId="0" borderId="0" xfId="0" applyFont="1" applyFill="1" applyAlignment="1">
      <alignment horizontal="right" vertical="top" wrapText="1"/>
    </xf>
    <xf numFmtId="171" fontId="32" fillId="0" borderId="0" xfId="0" applyNumberFormat="1" applyFont="1" applyAlignment="1">
      <alignment vertical="top" wrapText="1"/>
    </xf>
    <xf numFmtId="173" fontId="31" fillId="0" borderId="0" xfId="0" applyNumberFormat="1" applyFont="1" applyFill="1" applyBorder="1" applyAlignment="1" applyProtection="1">
      <alignment vertical="top" wrapText="1"/>
      <protection locked="0"/>
    </xf>
    <xf numFmtId="9" fontId="0" fillId="0" borderId="0" xfId="52" applyNumberFormat="1" applyFont="1" applyAlignment="1">
      <alignment horizontal="right" vertical="top" wrapText="1"/>
    </xf>
    <xf numFmtId="171" fontId="0" fillId="0" borderId="0" xfId="0" applyNumberFormat="1" applyAlignment="1">
      <alignment vertical="top" wrapText="1"/>
    </xf>
    <xf numFmtId="171" fontId="4" fillId="0" borderId="0" xfId="0" applyNumberFormat="1" applyFont="1" applyAlignment="1">
      <alignment vertical="top" wrapText="1"/>
    </xf>
    <xf numFmtId="1" fontId="5" fillId="0" borderId="0" xfId="47" applyNumberFormat="1" applyFont="1" applyFill="1" applyBorder="1" applyAlignment="1" applyProtection="1">
      <alignment horizontal="center" vertical="top" wrapText="1"/>
      <protection locked="0"/>
    </xf>
    <xf numFmtId="0" fontId="20" fillId="0" borderId="0" xfId="0" applyFont="1" applyAlignment="1">
      <alignment vertical="top"/>
    </xf>
    <xf numFmtId="0" fontId="0" fillId="0" borderId="0" xfId="0" applyAlignment="1">
      <alignment vertical="top"/>
    </xf>
    <xf numFmtId="1" fontId="4" fillId="0" borderId="0" xfId="0" applyNumberFormat="1" applyFont="1" applyAlignment="1">
      <alignment horizontal="center" vertical="top"/>
    </xf>
    <xf numFmtId="0" fontId="1" fillId="0" borderId="0" xfId="0" applyFont="1" applyAlignment="1">
      <alignment vertical="top"/>
    </xf>
    <xf numFmtId="169" fontId="1" fillId="0" borderId="0" xfId="0" applyNumberFormat="1" applyFont="1" applyAlignment="1">
      <alignment horizontal="right" vertical="top"/>
    </xf>
    <xf numFmtId="0" fontId="1" fillId="0" borderId="0" xfId="0" applyFont="1" applyFill="1" applyAlignment="1">
      <alignment horizontal="right" vertical="top" wrapText="1"/>
    </xf>
    <xf numFmtId="1" fontId="1" fillId="0" borderId="0" xfId="0" applyNumberFormat="1" applyFont="1" applyAlignment="1">
      <alignment horizontal="right" vertical="top"/>
    </xf>
    <xf numFmtId="171" fontId="21" fillId="0" borderId="0" xfId="0" applyNumberFormat="1" applyFont="1" applyFill="1" applyBorder="1" applyAlignment="1" applyProtection="1">
      <alignment vertical="top" wrapText="1"/>
      <protection locked="0"/>
    </xf>
    <xf numFmtId="167" fontId="1" fillId="0" borderId="0" xfId="0" applyNumberFormat="1" applyFont="1" applyBorder="1" applyAlignment="1">
      <alignment horizontal="right" wrapText="1"/>
    </xf>
    <xf numFmtId="167" fontId="4" fillId="0" borderId="0" xfId="0" applyNumberFormat="1" applyFont="1" applyBorder="1" applyAlignment="1">
      <alignment horizontal="right" wrapText="1"/>
    </xf>
    <xf numFmtId="4" fontId="5" fillId="0" borderId="0" xfId="0" applyNumberFormat="1" applyFont="1" applyAlignment="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171" fontId="15" fillId="0" borderId="0" xfId="0" applyNumberFormat="1" applyFont="1" applyBorder="1" applyAlignment="1">
      <alignment horizontal="right" vertical="top" wrapText="1"/>
    </xf>
    <xf numFmtId="171" fontId="30" fillId="0" borderId="0" xfId="0" applyNumberFormat="1" applyFont="1" applyBorder="1" applyAlignment="1">
      <alignment vertical="top" wrapText="1"/>
    </xf>
    <xf numFmtId="171" fontId="1" fillId="0" borderId="10" xfId="47" applyNumberFormat="1"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2" fontId="9" fillId="0" borderId="0" xfId="0" applyNumberFormat="1" applyFont="1" applyFill="1" applyBorder="1" applyAlignment="1" applyProtection="1">
      <alignment vertical="top" wrapText="1"/>
      <protection locked="0"/>
    </xf>
    <xf numFmtId="171" fontId="9" fillId="0" borderId="0" xfId="0" applyNumberFormat="1" applyFont="1" applyFill="1" applyBorder="1" applyAlignment="1" applyProtection="1">
      <alignment vertical="top"/>
      <protection locked="0"/>
    </xf>
    <xf numFmtId="167" fontId="16" fillId="0" borderId="0" xfId="0" applyNumberFormat="1" applyFont="1" applyBorder="1" applyAlignment="1">
      <alignment horizontal="right" vertical="top" wrapText="1"/>
    </xf>
    <xf numFmtId="167" fontId="34" fillId="0" borderId="0" xfId="0" applyNumberFormat="1" applyFont="1" applyBorder="1" applyAlignment="1">
      <alignment vertical="top" wrapText="1"/>
    </xf>
    <xf numFmtId="167" fontId="1" fillId="0" borderId="0" xfId="0" applyNumberFormat="1" applyFont="1" applyBorder="1" applyAlignment="1">
      <alignment horizontal="right" vertical="top" wrapText="1"/>
    </xf>
    <xf numFmtId="167" fontId="1" fillId="0" borderId="0" xfId="0" applyNumberFormat="1" applyFont="1" applyBorder="1" applyAlignment="1">
      <alignment vertical="top" wrapText="1"/>
    </xf>
    <xf numFmtId="167" fontId="15" fillId="0" borderId="0" xfId="0" applyNumberFormat="1" applyFont="1" applyBorder="1" applyAlignment="1">
      <alignment vertical="top" wrapText="1"/>
    </xf>
    <xf numFmtId="167" fontId="1" fillId="0" borderId="0" xfId="47" applyNumberFormat="1" applyFont="1" applyFill="1" applyBorder="1" applyAlignment="1" applyProtection="1">
      <alignment vertical="top" wrapText="1"/>
      <protection locked="0"/>
    </xf>
    <xf numFmtId="167" fontId="4" fillId="0" borderId="0" xfId="0" applyNumberFormat="1" applyFont="1" applyBorder="1" applyAlignment="1">
      <alignment horizontal="right" vertical="top" wrapText="1"/>
    </xf>
    <xf numFmtId="167" fontId="5" fillId="0" borderId="0" xfId="0" applyNumberFormat="1" applyFont="1" applyBorder="1" applyAlignment="1">
      <alignment horizontal="right" vertical="top" wrapText="1"/>
    </xf>
    <xf numFmtId="167" fontId="1" fillId="28" borderId="0" xfId="47" applyNumberFormat="1" applyFont="1" applyFill="1" applyBorder="1" applyAlignment="1" applyProtection="1">
      <alignment vertical="top" wrapText="1"/>
      <protection locked="0"/>
    </xf>
    <xf numFmtId="167" fontId="4" fillId="0" borderId="0" xfId="47" applyNumberFormat="1" applyFont="1" applyFill="1" applyBorder="1" applyAlignment="1" applyProtection="1">
      <alignment vertical="top" wrapText="1"/>
      <protection locked="0"/>
    </xf>
    <xf numFmtId="171" fontId="16" fillId="3" borderId="0" xfId="0" applyNumberFormat="1" applyFont="1" applyFill="1" applyBorder="1" applyAlignment="1">
      <alignment horizontal="right" vertical="top" wrapText="1"/>
    </xf>
    <xf numFmtId="171" fontId="34" fillId="0" borderId="0" xfId="0" applyNumberFormat="1" applyFont="1" applyBorder="1" applyAlignment="1">
      <alignment vertical="top" wrapText="1"/>
    </xf>
    <xf numFmtId="171" fontId="22" fillId="0" borderId="0" xfId="0" applyNumberFormat="1" applyFont="1" applyBorder="1" applyAlignment="1">
      <alignment vertical="top" wrapText="1"/>
    </xf>
    <xf numFmtId="170" fontId="15" fillId="3" borderId="0" xfId="0" applyNumberFormat="1" applyFont="1" applyFill="1" applyBorder="1" applyAlignment="1" applyProtection="1">
      <alignment vertical="top" wrapText="1"/>
      <protection locked="0"/>
    </xf>
    <xf numFmtId="1" fontId="1" fillId="0" borderId="0" xfId="47" applyNumberFormat="1" applyFont="1" applyFill="1" applyBorder="1" applyAlignment="1" applyProtection="1">
      <alignment horizontal="center" vertical="top" wrapText="1"/>
      <protection locked="0"/>
    </xf>
    <xf numFmtId="0" fontId="8" fillId="0" borderId="0" xfId="0" applyFont="1" applyFill="1" applyBorder="1" applyAlignment="1" applyProtection="1">
      <alignment vertical="top"/>
      <protection locked="0"/>
    </xf>
    <xf numFmtId="172" fontId="11" fillId="0" borderId="0" xfId="0" applyNumberFormat="1" applyFont="1" applyAlignment="1">
      <alignment/>
    </xf>
    <xf numFmtId="2" fontId="1" fillId="0" borderId="0" xfId="0" applyNumberFormat="1" applyFont="1" applyAlignment="1">
      <alignment vertical="top" wrapText="1"/>
    </xf>
    <xf numFmtId="1" fontId="3" fillId="22" borderId="0" xfId="0" applyNumberFormat="1" applyFont="1" applyFill="1" applyBorder="1" applyAlignment="1">
      <alignment horizontal="center" vertical="top" wrapText="1"/>
    </xf>
    <xf numFmtId="1" fontId="16" fillId="3" borderId="0" xfId="0" applyNumberFormat="1" applyFont="1" applyFill="1" applyBorder="1" applyAlignment="1" applyProtection="1">
      <alignment vertical="top" wrapText="1"/>
      <protection locked="0"/>
    </xf>
    <xf numFmtId="1" fontId="1" fillId="0" borderId="0" xfId="0" applyNumberFormat="1" applyFont="1" applyBorder="1" applyAlignment="1">
      <alignment horizontal="right" wrapText="1"/>
    </xf>
    <xf numFmtId="1" fontId="16" fillId="0" borderId="0" xfId="0" applyNumberFormat="1" applyFont="1" applyFill="1" applyBorder="1" applyAlignment="1" applyProtection="1">
      <alignment vertical="top" wrapText="1"/>
      <protection locked="0"/>
    </xf>
    <xf numFmtId="1" fontId="1" fillId="0" borderId="0" xfId="0" applyNumberFormat="1" applyFont="1" applyAlignment="1">
      <alignment vertical="top" wrapText="1"/>
    </xf>
    <xf numFmtId="1" fontId="1" fillId="0" borderId="0" xfId="0" applyNumberFormat="1" applyFont="1" applyFill="1" applyBorder="1" applyAlignment="1" applyProtection="1">
      <alignment vertical="top" wrapText="1"/>
      <protection locked="0"/>
    </xf>
    <xf numFmtId="1" fontId="16" fillId="3" borderId="0" xfId="0" applyNumberFormat="1" applyFont="1" applyFill="1" applyAlignment="1">
      <alignment vertical="top" wrapText="1"/>
    </xf>
    <xf numFmtId="1" fontId="1" fillId="0" borderId="0" xfId="0" applyNumberFormat="1" applyFont="1" applyAlignment="1">
      <alignment vertical="top"/>
    </xf>
    <xf numFmtId="1" fontId="1" fillId="0" borderId="0" xfId="0" applyNumberFormat="1" applyFont="1" applyBorder="1" applyAlignment="1">
      <alignment horizontal="right"/>
    </xf>
    <xf numFmtId="1" fontId="1" fillId="0" borderId="0" xfId="0" applyNumberFormat="1" applyFont="1" applyBorder="1" applyAlignment="1">
      <alignment horizontal="right" vertical="top" wrapText="1"/>
    </xf>
    <xf numFmtId="1" fontId="3" fillId="0" borderId="0" xfId="0" applyNumberFormat="1" applyFont="1" applyBorder="1" applyAlignment="1">
      <alignment horizontal="right" vertical="top" wrapText="1"/>
    </xf>
    <xf numFmtId="1" fontId="16" fillId="3" borderId="0" xfId="0" applyNumberFormat="1" applyFont="1" applyFill="1" applyBorder="1" applyAlignment="1">
      <alignment horizontal="right" vertical="top" wrapText="1"/>
    </xf>
    <xf numFmtId="1" fontId="1" fillId="0" borderId="0" xfId="0" applyNumberFormat="1" applyFont="1" applyBorder="1" applyAlignment="1">
      <alignment vertical="top" wrapText="1"/>
    </xf>
    <xf numFmtId="1" fontId="1" fillId="0" borderId="0" xfId="0" applyNumberFormat="1" applyFont="1" applyFill="1" applyAlignment="1">
      <alignment vertical="top" wrapText="1"/>
    </xf>
    <xf numFmtId="169" fontId="9" fillId="0" borderId="0" xfId="0" applyNumberFormat="1" applyFont="1" applyFill="1" applyBorder="1" applyAlignment="1" applyProtection="1">
      <alignment vertical="top" wrapText="1"/>
      <protection/>
    </xf>
    <xf numFmtId="167" fontId="16" fillId="3" borderId="0" xfId="0" applyNumberFormat="1" applyFont="1" applyFill="1" applyBorder="1" applyAlignment="1" applyProtection="1">
      <alignment vertical="top" wrapText="1"/>
      <protection locked="0"/>
    </xf>
    <xf numFmtId="167" fontId="1" fillId="0" borderId="0" xfId="0" applyNumberFormat="1" applyFont="1" applyFill="1" applyBorder="1" applyAlignment="1" applyProtection="1">
      <alignment vertical="top" wrapText="1"/>
      <protection locked="0"/>
    </xf>
    <xf numFmtId="167" fontId="15" fillId="0" borderId="0" xfId="0" applyNumberFormat="1" applyFont="1" applyAlignment="1">
      <alignment vertical="top" wrapText="1"/>
    </xf>
    <xf numFmtId="0" fontId="1" fillId="0" borderId="0" xfId="0" applyFont="1" applyAlignment="1">
      <alignment wrapText="1"/>
    </xf>
    <xf numFmtId="0" fontId="3" fillId="0" borderId="0" xfId="0" applyFont="1" applyAlignment="1">
      <alignment horizontal="center" wrapText="1"/>
    </xf>
    <xf numFmtId="0" fontId="3" fillId="0" borderId="13" xfId="0" applyFont="1" applyBorder="1" applyAlignment="1">
      <alignment horizontal="center" wrapText="1"/>
    </xf>
    <xf numFmtId="0" fontId="3" fillId="0" borderId="0" xfId="0" applyFont="1" applyAlignment="1">
      <alignment wrapText="1"/>
    </xf>
    <xf numFmtId="4" fontId="3" fillId="0" borderId="14" xfId="0" applyNumberFormat="1" applyFont="1" applyBorder="1" applyAlignment="1">
      <alignment wrapText="1"/>
    </xf>
    <xf numFmtId="4" fontId="3" fillId="0" borderId="0" xfId="0" applyNumberFormat="1" applyFont="1" applyBorder="1" applyAlignment="1">
      <alignment wrapText="1"/>
    </xf>
    <xf numFmtId="4" fontId="3" fillId="0" borderId="15" xfId="0" applyNumberFormat="1" applyFont="1" applyBorder="1" applyAlignment="1">
      <alignment wrapText="1"/>
    </xf>
    <xf numFmtId="4" fontId="3" fillId="0" borderId="16" xfId="0" applyNumberFormat="1" applyFont="1" applyBorder="1" applyAlignment="1">
      <alignment wrapText="1"/>
    </xf>
    <xf numFmtId="0" fontId="3" fillId="0" borderId="17" xfId="0" applyFont="1" applyBorder="1" applyAlignment="1">
      <alignment horizontal="center" wrapText="1"/>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1" fillId="0" borderId="0" xfId="0" applyFont="1" applyAlignment="1">
      <alignment horizontal="center" wrapText="1"/>
    </xf>
    <xf numFmtId="0" fontId="3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vertical="center" wrapText="1"/>
    </xf>
    <xf numFmtId="10" fontId="0" fillId="0" borderId="0" xfId="0" applyNumberFormat="1" applyFont="1" applyAlignment="1">
      <alignment vertical="top" wrapText="1"/>
    </xf>
    <xf numFmtId="10" fontId="1" fillId="0" borderId="0" xfId="0" applyNumberFormat="1" applyFont="1" applyAlignment="1">
      <alignment vertical="top" wrapText="1"/>
    </xf>
    <xf numFmtId="10" fontId="32" fillId="0" borderId="0" xfId="0" applyNumberFormat="1" applyFont="1" applyAlignment="1">
      <alignment vertical="top" wrapText="1"/>
    </xf>
    <xf numFmtId="10" fontId="0" fillId="0" borderId="0" xfId="0" applyNumberFormat="1" applyAlignment="1">
      <alignment vertical="top" wrapText="1"/>
    </xf>
    <xf numFmtId="10" fontId="20" fillId="0" borderId="0" xfId="0" applyNumberFormat="1" applyFont="1" applyAlignment="1">
      <alignment vertical="top" wrapText="1"/>
    </xf>
    <xf numFmtId="171" fontId="36" fillId="0" borderId="0" xfId="47" applyNumberFormat="1" applyFont="1" applyFill="1" applyBorder="1" applyAlignment="1" applyProtection="1">
      <alignment vertical="top" wrapText="1"/>
      <protection locked="0"/>
    </xf>
    <xf numFmtId="171" fontId="36" fillId="0" borderId="0" xfId="0" applyNumberFormat="1" applyFont="1" applyFill="1" applyBorder="1" applyAlignment="1" applyProtection="1">
      <alignment vertical="top" wrapText="1"/>
      <protection locked="0"/>
    </xf>
    <xf numFmtId="171" fontId="1" fillId="0" borderId="0" xfId="0" applyNumberFormat="1" applyFont="1" applyAlignment="1">
      <alignment/>
    </xf>
    <xf numFmtId="171" fontId="2" fillId="0" borderId="0" xfId="0" applyNumberFormat="1" applyFont="1" applyAlignment="1">
      <alignment/>
    </xf>
    <xf numFmtId="171" fontId="0" fillId="0" borderId="0" xfId="0" applyNumberFormat="1" applyAlignment="1">
      <alignment/>
    </xf>
    <xf numFmtId="2" fontId="1" fillId="0" borderId="0" xfId="0" applyNumberFormat="1" applyFont="1" applyFill="1" applyBorder="1" applyAlignment="1" applyProtection="1">
      <alignment vertical="top" wrapText="1"/>
      <protection locked="0"/>
    </xf>
    <xf numFmtId="167" fontId="16" fillId="0" borderId="0" xfId="0" applyNumberFormat="1" applyFont="1" applyFill="1" applyBorder="1" applyAlignment="1" applyProtection="1">
      <alignment vertical="top" wrapText="1"/>
      <protection locked="0"/>
    </xf>
    <xf numFmtId="2" fontId="0" fillId="0" borderId="0" xfId="0" applyNumberFormat="1" applyAlignment="1">
      <alignment vertical="top" wrapText="1"/>
    </xf>
    <xf numFmtId="4" fontId="0" fillId="0" borderId="0" xfId="0" applyNumberFormat="1" applyAlignment="1">
      <alignment vertical="top" wrapText="1"/>
    </xf>
    <xf numFmtId="4" fontId="16" fillId="0" borderId="0" xfId="0" applyNumberFormat="1" applyFont="1" applyFill="1" applyBorder="1" applyAlignment="1" applyProtection="1">
      <alignment vertical="top" wrapText="1"/>
      <protection/>
    </xf>
    <xf numFmtId="0" fontId="4" fillId="0" borderId="0" xfId="0" applyFont="1" applyAlignment="1">
      <alignment vertical="top"/>
    </xf>
    <xf numFmtId="0" fontId="1" fillId="0" borderId="0" xfId="0" applyFont="1" applyAlignment="1">
      <alignment vertical="top"/>
    </xf>
    <xf numFmtId="4" fontId="16" fillId="0" borderId="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xf>
    <xf numFmtId="0" fontId="5" fillId="3" borderId="0" xfId="0" applyFont="1" applyFill="1" applyBorder="1" applyAlignment="1" applyProtection="1">
      <alignment vertical="top" wrapText="1"/>
      <protection locked="0"/>
    </xf>
    <xf numFmtId="1" fontId="5" fillId="3" borderId="0" xfId="0" applyNumberFormat="1" applyFont="1" applyFill="1" applyBorder="1" applyAlignment="1" applyProtection="1">
      <alignment horizontal="center" vertical="top" wrapText="1"/>
      <protection locked="0"/>
    </xf>
    <xf numFmtId="169" fontId="5" fillId="3" borderId="0" xfId="0" applyNumberFormat="1" applyFont="1" applyFill="1" applyBorder="1" applyAlignment="1" applyProtection="1">
      <alignment horizontal="center" vertical="top" wrapText="1"/>
      <protection locked="0"/>
    </xf>
    <xf numFmtId="171" fontId="5" fillId="3" borderId="0" xfId="0" applyNumberFormat="1" applyFont="1" applyFill="1" applyBorder="1" applyAlignment="1" applyProtection="1">
      <alignment vertical="top" wrapText="1"/>
      <protection locked="0"/>
    </xf>
    <xf numFmtId="1" fontId="5" fillId="3" borderId="0" xfId="0" applyNumberFormat="1" applyFont="1" applyFill="1" applyAlignment="1">
      <alignment vertical="top" wrapText="1"/>
    </xf>
    <xf numFmtId="171" fontId="5" fillId="3" borderId="0" xfId="0" applyNumberFormat="1" applyFont="1" applyFill="1" applyAlignment="1">
      <alignment vertical="top" wrapText="1"/>
    </xf>
    <xf numFmtId="4" fontId="5" fillId="3" borderId="0" xfId="0" applyNumberFormat="1" applyFont="1" applyFill="1" applyBorder="1" applyAlignment="1" applyProtection="1">
      <alignment vertical="top" wrapText="1"/>
      <protection locked="0"/>
    </xf>
    <xf numFmtId="0" fontId="4" fillId="0" borderId="0" xfId="0" applyFont="1" applyFill="1" applyAlignment="1">
      <alignment vertical="top" wrapText="1"/>
    </xf>
    <xf numFmtId="0" fontId="5" fillId="3" borderId="0" xfId="0" applyFont="1" applyFill="1" applyBorder="1" applyAlignment="1" applyProtection="1" quotePrefix="1">
      <alignment vertical="top" wrapText="1"/>
      <protection/>
    </xf>
    <xf numFmtId="1" fontId="5" fillId="3" borderId="0" xfId="0" applyNumberFormat="1" applyFont="1" applyFill="1" applyBorder="1" applyAlignment="1" applyProtection="1">
      <alignment horizontal="center" vertical="top" wrapText="1"/>
      <protection/>
    </xf>
    <xf numFmtId="169" fontId="5" fillId="3" borderId="0" xfId="0" applyNumberFormat="1" applyFont="1" applyFill="1" applyBorder="1" applyAlignment="1" applyProtection="1">
      <alignment horizontal="center" vertical="top" wrapText="1"/>
      <protection/>
    </xf>
    <xf numFmtId="1" fontId="5" fillId="3" borderId="0" xfId="0" applyNumberFormat="1" applyFont="1" applyFill="1" applyBorder="1" applyAlignment="1" applyProtection="1">
      <alignment vertical="top" wrapText="1"/>
      <protection locked="0"/>
    </xf>
    <xf numFmtId="169" fontId="5" fillId="0" borderId="0" xfId="0" applyNumberFormat="1" applyFont="1" applyFill="1" applyBorder="1" applyAlignment="1" applyProtection="1">
      <alignment vertical="top" wrapText="1"/>
      <protection locked="0"/>
    </xf>
    <xf numFmtId="169" fontId="4" fillId="0" borderId="0" xfId="0" applyNumberFormat="1" applyFont="1" applyFill="1" applyBorder="1" applyAlignment="1" applyProtection="1">
      <alignment vertical="top" wrapText="1"/>
      <protection locked="0"/>
    </xf>
    <xf numFmtId="170" fontId="5" fillId="0" borderId="0" xfId="0" applyNumberFormat="1" applyFont="1" applyFill="1" applyBorder="1" applyAlignment="1" applyProtection="1">
      <alignment vertical="top" wrapText="1"/>
      <protection locked="0"/>
    </xf>
    <xf numFmtId="3" fontId="4" fillId="0" borderId="0" xfId="0" applyNumberFormat="1" applyFont="1" applyFill="1" applyBorder="1" applyAlignment="1" applyProtection="1">
      <alignment vertical="top" wrapText="1"/>
      <protection locked="0"/>
    </xf>
    <xf numFmtId="4" fontId="5" fillId="0" borderId="0" xfId="0" applyNumberFormat="1" applyFont="1" applyFill="1" applyBorder="1" applyAlignment="1" applyProtection="1">
      <alignment vertical="top" wrapText="1"/>
      <protection locked="0"/>
    </xf>
    <xf numFmtId="4" fontId="5" fillId="0" borderId="0" xfId="44" applyNumberFormat="1" applyFont="1" applyFill="1" applyBorder="1" applyAlignment="1" applyProtection="1">
      <alignment vertical="top" wrapText="1"/>
      <protection locked="0"/>
    </xf>
    <xf numFmtId="169" fontId="5" fillId="0" borderId="0" xfId="0" applyNumberFormat="1" applyFont="1" applyFill="1" applyBorder="1" applyAlignment="1" applyProtection="1">
      <alignment vertical="top" wrapText="1"/>
      <protection/>
    </xf>
    <xf numFmtId="175" fontId="5" fillId="0" borderId="0" xfId="47" applyNumberFormat="1" applyFont="1" applyFill="1" applyBorder="1" applyAlignment="1" applyProtection="1">
      <alignment vertical="top" wrapText="1"/>
      <protection locked="0"/>
    </xf>
    <xf numFmtId="3" fontId="5" fillId="0" borderId="0" xfId="0" applyNumberFormat="1" applyFont="1" applyFill="1" applyBorder="1" applyAlignment="1" applyProtection="1">
      <alignment vertical="top" wrapText="1"/>
      <protection locked="0"/>
    </xf>
    <xf numFmtId="170" fontId="5" fillId="0" borderId="0"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vertical="top" wrapText="1"/>
      <protection/>
    </xf>
    <xf numFmtId="9" fontId="5" fillId="0" borderId="0" xfId="0" applyNumberFormat="1" applyFont="1" applyFill="1" applyBorder="1" applyAlignment="1" applyProtection="1">
      <alignment vertical="top" wrapText="1"/>
      <protection/>
    </xf>
    <xf numFmtId="4" fontId="5" fillId="0" borderId="0" xfId="0" applyNumberFormat="1" applyFont="1" applyFill="1" applyBorder="1" applyAlignment="1">
      <alignment vertical="top" wrapText="1"/>
    </xf>
    <xf numFmtId="167" fontId="5" fillId="0" borderId="0" xfId="0" applyNumberFormat="1" applyFont="1" applyFill="1" applyBorder="1" applyAlignment="1">
      <alignment vertical="top" wrapText="1"/>
    </xf>
    <xf numFmtId="41" fontId="5" fillId="0" borderId="0" xfId="47" applyFont="1" applyFill="1" applyBorder="1" applyAlignment="1">
      <alignment vertical="top" wrapText="1"/>
    </xf>
    <xf numFmtId="9" fontId="5" fillId="0" borderId="0" xfId="52" applyFont="1" applyFill="1" applyBorder="1" applyAlignment="1">
      <alignment vertical="top" wrapText="1"/>
    </xf>
    <xf numFmtId="171" fontId="5" fillId="0"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9"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pplyProtection="1">
      <alignment vertical="top" wrapText="1"/>
      <protection locked="0"/>
    </xf>
    <xf numFmtId="167"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xf>
    <xf numFmtId="169" fontId="4" fillId="0" borderId="0" xfId="47" applyNumberFormat="1" applyFont="1" applyFill="1" applyBorder="1" applyAlignment="1">
      <alignment vertical="top" wrapText="1"/>
    </xf>
    <xf numFmtId="167" fontId="4" fillId="0" borderId="0" xfId="47" applyNumberFormat="1" applyFont="1" applyFill="1" applyBorder="1" applyAlignment="1">
      <alignment vertical="top" wrapText="1"/>
    </xf>
    <xf numFmtId="1" fontId="5" fillId="0" borderId="0" xfId="0" applyNumberFormat="1" applyFont="1" applyFill="1" applyBorder="1" applyAlignment="1">
      <alignmen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vertical="top" wrapText="1"/>
    </xf>
    <xf numFmtId="0" fontId="38" fillId="0" borderId="0" xfId="0" applyFont="1" applyFill="1" applyBorder="1" applyAlignment="1">
      <alignment vertical="top" wrapText="1"/>
    </xf>
    <xf numFmtId="178" fontId="4" fillId="0" borderId="0" xfId="0" applyNumberFormat="1" applyFont="1" applyFill="1" applyBorder="1" applyAlignment="1">
      <alignment vertical="top" wrapText="1"/>
    </xf>
    <xf numFmtId="4" fontId="4" fillId="0" borderId="0" xfId="0" applyNumberFormat="1" applyFont="1" applyFill="1" applyBorder="1" applyAlignment="1">
      <alignment horizontal="center" vertical="top" wrapText="1"/>
    </xf>
    <xf numFmtId="14" fontId="4" fillId="0" borderId="0" xfId="0" applyNumberFormat="1" applyFont="1" applyFill="1" applyBorder="1" applyAlignment="1">
      <alignment vertical="top" wrapText="1"/>
    </xf>
    <xf numFmtId="178" fontId="5" fillId="0" borderId="0" xfId="0" applyNumberFormat="1" applyFont="1" applyFill="1" applyBorder="1" applyAlignment="1">
      <alignment vertical="top" wrapText="1"/>
    </xf>
    <xf numFmtId="4" fontId="4" fillId="0" borderId="0" xfId="0" applyNumberFormat="1" applyFont="1" applyFill="1" applyBorder="1" applyAlignment="1">
      <alignment vertical="top" wrapText="1"/>
    </xf>
    <xf numFmtId="180" fontId="16" fillId="3" borderId="0" xfId="0" applyNumberFormat="1" applyFont="1" applyFill="1" applyBorder="1" applyAlignment="1" applyProtection="1">
      <alignment vertical="top" wrapText="1"/>
      <protection locked="0"/>
    </xf>
    <xf numFmtId="167" fontId="0" fillId="0" borderId="0" xfId="0" applyNumberFormat="1" applyAlignment="1">
      <alignment vertical="top" wrapText="1"/>
    </xf>
    <xf numFmtId="0" fontId="0" fillId="0" borderId="0" xfId="0" applyFont="1" applyFill="1" applyBorder="1" applyAlignment="1">
      <alignment horizontal="center" vertical="center" textRotation="90"/>
    </xf>
    <xf numFmtId="0" fontId="0" fillId="0" borderId="0" xfId="0" applyFont="1" applyFill="1" applyBorder="1" applyAlignment="1">
      <alignment horizontal="center" vertical="center" textRotation="90" wrapText="1"/>
    </xf>
    <xf numFmtId="4" fontId="0" fillId="0" borderId="0" xfId="0" applyNumberFormat="1" applyFont="1" applyFill="1" applyBorder="1" applyAlignment="1">
      <alignment horizontal="center" vertical="center" textRotation="90"/>
    </xf>
    <xf numFmtId="4" fontId="32" fillId="0" borderId="0" xfId="0" applyNumberFormat="1" applyFont="1" applyFill="1" applyBorder="1" applyAlignment="1">
      <alignment horizontal="center" vertical="center" textRotation="90"/>
    </xf>
    <xf numFmtId="0" fontId="0" fillId="0" borderId="0" xfId="0" applyFont="1" applyAlignment="1">
      <alignment/>
    </xf>
    <xf numFmtId="0" fontId="0" fillId="0" borderId="0" xfId="0" applyFont="1" applyAlignment="1">
      <alignment horizontal="left" vertical="top" wrapText="1"/>
    </xf>
    <xf numFmtId="0" fontId="39" fillId="0" borderId="0" xfId="0" applyFont="1" applyFill="1" applyBorder="1" applyAlignment="1">
      <alignment horizontal="center" vertical="center"/>
    </xf>
    <xf numFmtId="0" fontId="0" fillId="0" borderId="0" xfId="0" applyFont="1" applyFill="1" applyBorder="1" applyAlignment="1">
      <alignment vertical="center" wrapText="1"/>
    </xf>
    <xf numFmtId="4" fontId="0" fillId="0" borderId="0" xfId="0" applyNumberFormat="1" applyFont="1" applyFill="1" applyBorder="1" applyAlignment="1">
      <alignment horizontal="right" vertical="center"/>
    </xf>
    <xf numFmtId="4" fontId="0" fillId="0" borderId="0" xfId="0" applyNumberFormat="1" applyFont="1" applyAlignment="1">
      <alignment horizontal="right" vertical="center"/>
    </xf>
    <xf numFmtId="0" fontId="39" fillId="0" borderId="0" xfId="0" applyFont="1" applyBorder="1" applyAlignment="1">
      <alignment horizontal="center" vertical="center"/>
    </xf>
    <xf numFmtId="0" fontId="0" fillId="0" borderId="0" xfId="0" applyFont="1" applyBorder="1" applyAlignment="1">
      <alignment vertical="center" wrapText="1"/>
    </xf>
    <xf numFmtId="4" fontId="0" fillId="0" borderId="0" xfId="0" applyNumberFormat="1" applyFont="1" applyBorder="1" applyAlignment="1">
      <alignment horizontal="right" vertical="center"/>
    </xf>
    <xf numFmtId="0" fontId="0" fillId="0" borderId="0" xfId="0" applyFont="1" applyFill="1" applyBorder="1" applyAlignment="1" quotePrefix="1">
      <alignment vertical="center" wrapText="1"/>
    </xf>
    <xf numFmtId="0" fontId="39" fillId="0" borderId="0" xfId="0" applyFont="1" applyAlignment="1">
      <alignment horizontal="center" vertical="center"/>
    </xf>
    <xf numFmtId="0" fontId="0" fillId="0" borderId="0" xfId="0" applyFont="1" applyAlignment="1">
      <alignment vertical="center" wrapText="1"/>
    </xf>
    <xf numFmtId="0" fontId="0" fillId="0" borderId="0" xfId="0" applyFont="1" applyFill="1" applyBorder="1" applyAlignment="1">
      <alignment horizontal="center" vertical="center"/>
    </xf>
    <xf numFmtId="0" fontId="39" fillId="0" borderId="0" xfId="0" applyFont="1" applyFill="1" applyAlignment="1">
      <alignment horizontal="center" vertical="center"/>
    </xf>
    <xf numFmtId="0" fontId="0" fillId="0" borderId="0" xfId="0" applyFont="1" applyFill="1" applyAlignment="1">
      <alignment vertical="center" wrapText="1"/>
    </xf>
    <xf numFmtId="4"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32" fillId="0" borderId="0" xfId="0" applyFont="1" applyFill="1" applyAlignment="1">
      <alignment vertical="center" wrapText="1"/>
    </xf>
    <xf numFmtId="0" fontId="0" fillId="0" borderId="0" xfId="0" applyFont="1" applyAlignment="1">
      <alignment horizontal="center" vertical="center"/>
    </xf>
    <xf numFmtId="4" fontId="0" fillId="16" borderId="0" xfId="0" applyNumberFormat="1" applyFont="1" applyFill="1" applyAlignment="1">
      <alignment horizontal="right" vertical="center"/>
    </xf>
    <xf numFmtId="4" fontId="0" fillId="0" borderId="0" xfId="0" applyNumberFormat="1" applyFont="1" applyAlignment="1">
      <alignment/>
    </xf>
    <xf numFmtId="4" fontId="0" fillId="16" borderId="0" xfId="0" applyNumberFormat="1" applyFont="1" applyFill="1" applyBorder="1" applyAlignment="1">
      <alignment horizontal="right" vertical="center"/>
    </xf>
    <xf numFmtId="0" fontId="0" fillId="0" borderId="0" xfId="0" applyFont="1" applyAlignment="1">
      <alignment horizontal="center" vertical="center" textRotation="90"/>
    </xf>
    <xf numFmtId="0" fontId="0" fillId="0" borderId="0" xfId="0" applyFont="1" applyAlignment="1">
      <alignment horizontal="center" vertical="center" textRotation="90"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xf>
    <xf numFmtId="1" fontId="1" fillId="0" borderId="0" xfId="0" applyNumberFormat="1" applyFont="1" applyAlignment="1">
      <alignment vertical="center" wrapText="1"/>
    </xf>
    <xf numFmtId="4" fontId="36" fillId="0" borderId="0" xfId="0" applyNumberFormat="1" applyFont="1" applyAlignment="1">
      <alignment vertical="center" wrapText="1"/>
    </xf>
    <xf numFmtId="0" fontId="1" fillId="0" borderId="0" xfId="0" applyFont="1" applyAlignment="1">
      <alignment horizontal="center" vertical="center" textRotation="90" wrapText="1"/>
    </xf>
    <xf numFmtId="0" fontId="1" fillId="0" borderId="0" xfId="0" applyFont="1" applyFill="1" applyBorder="1" applyAlignment="1">
      <alignment horizontal="center" vertical="center" textRotation="90" wrapText="1"/>
    </xf>
    <xf numFmtId="4" fontId="1" fillId="0" borderId="0" xfId="0" applyNumberFormat="1" applyFont="1" applyFill="1" applyBorder="1" applyAlignment="1">
      <alignment horizontal="center" vertical="center" textRotation="90" wrapText="1"/>
    </xf>
    <xf numFmtId="1" fontId="1" fillId="0" borderId="0" xfId="0" applyNumberFormat="1" applyFont="1" applyFill="1" applyBorder="1" applyAlignment="1">
      <alignment horizontal="center" vertical="center" textRotation="90" wrapText="1"/>
    </xf>
    <xf numFmtId="4" fontId="4" fillId="0" borderId="0" xfId="0" applyNumberFormat="1" applyFont="1" applyFill="1" applyBorder="1" applyAlignment="1">
      <alignment horizontal="center" vertical="center" textRotation="90" wrapText="1"/>
    </xf>
    <xf numFmtId="14" fontId="1" fillId="0" borderId="0" xfId="0" applyNumberFormat="1" applyFont="1" applyBorder="1" applyAlignment="1">
      <alignment horizontal="center" vertical="center" textRotation="90" wrapText="1"/>
    </xf>
    <xf numFmtId="4" fontId="1" fillId="0" borderId="0" xfId="0" applyNumberFormat="1" applyFont="1" applyBorder="1" applyAlignment="1">
      <alignment horizontal="center" vertical="center" textRotation="90" wrapText="1"/>
    </xf>
    <xf numFmtId="0" fontId="1" fillId="0" borderId="0" xfId="0" applyFont="1" applyBorder="1" applyAlignment="1">
      <alignment horizontal="center" vertical="center" textRotation="90" wrapText="1"/>
    </xf>
    <xf numFmtId="14" fontId="1" fillId="0" borderId="0" xfId="0" applyNumberFormat="1" applyFont="1" applyFill="1" applyBorder="1" applyAlignment="1">
      <alignment horizontal="center" vertical="center" textRotation="90" wrapText="1"/>
    </xf>
    <xf numFmtId="1" fontId="4" fillId="0" borderId="0" xfId="0" applyNumberFormat="1" applyFont="1" applyFill="1" applyBorder="1" applyAlignment="1">
      <alignment horizontal="center" vertical="center" textRotation="90" wrapText="1"/>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wrapText="1"/>
    </xf>
    <xf numFmtId="4" fontId="1" fillId="0" borderId="0" xfId="0" applyNumberFormat="1" applyFont="1" applyFill="1" applyBorder="1" applyAlignment="1">
      <alignment horizontal="right" vertical="center"/>
    </xf>
    <xf numFmtId="1" fontId="1"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14" fontId="1" fillId="0" borderId="0" xfId="0" applyNumberFormat="1" applyFont="1" applyBorder="1" applyAlignment="1" quotePrefix="1">
      <alignment horizontal="center" vertical="center"/>
    </xf>
    <xf numFmtId="4" fontId="1" fillId="0" borderId="0" xfId="0" applyNumberFormat="1" applyFont="1" applyBorder="1" applyAlignment="1" quotePrefix="1">
      <alignment horizontal="center" vertical="center"/>
    </xf>
    <xf numFmtId="0" fontId="1" fillId="0" borderId="0" xfId="0" applyFont="1" applyAlignment="1">
      <alignment horizontal="left" vertical="center"/>
    </xf>
    <xf numFmtId="1" fontId="1" fillId="0" borderId="0" xfId="0" applyNumberFormat="1" applyFont="1" applyBorder="1" applyAlignment="1">
      <alignment horizontal="center" vertical="center"/>
    </xf>
    <xf numFmtId="14" fontId="1" fillId="0" borderId="0" xfId="0" applyNumberFormat="1" applyFont="1" applyAlignment="1">
      <alignment horizontal="center" vertical="center"/>
    </xf>
    <xf numFmtId="1" fontId="1" fillId="0" borderId="0" xfId="0" applyNumberFormat="1" applyFont="1" applyBorder="1" applyAlignment="1" quotePrefix="1">
      <alignment horizontal="center" vertical="center"/>
    </xf>
    <xf numFmtId="0" fontId="1" fillId="0" borderId="0" xfId="0" applyFont="1" applyAlignment="1">
      <alignment/>
    </xf>
    <xf numFmtId="1" fontId="4" fillId="0" borderId="0" xfId="0" applyNumberFormat="1" applyFont="1" applyFill="1" applyBorder="1" applyAlignment="1">
      <alignment horizontal="right" vertical="center"/>
    </xf>
    <xf numFmtId="14" fontId="1" fillId="0" borderId="0" xfId="0" applyNumberFormat="1" applyFont="1" applyBorder="1" applyAlignment="1">
      <alignment horizontal="center" vertical="center"/>
    </xf>
    <xf numFmtId="0" fontId="1" fillId="0" borderId="0" xfId="0" applyFont="1" applyFill="1" applyAlignment="1">
      <alignment horizontal="center" vertical="center"/>
    </xf>
    <xf numFmtId="0" fontId="5" fillId="0" borderId="0" xfId="0" applyFont="1" applyBorder="1" applyAlignment="1">
      <alignment horizontal="center" vertical="center"/>
    </xf>
    <xf numFmtId="4" fontId="1" fillId="0" borderId="0" xfId="0" applyNumberFormat="1" applyFont="1" applyBorder="1" applyAlignment="1">
      <alignment horizontal="right" vertical="center"/>
    </xf>
    <xf numFmtId="0" fontId="1" fillId="0" borderId="0" xfId="0" applyFont="1" applyBorder="1" applyAlignment="1" quotePrefix="1">
      <alignment horizontal="center" vertical="center"/>
    </xf>
    <xf numFmtId="0" fontId="41" fillId="0" borderId="0" xfId="36" applyFont="1" applyBorder="1" applyAlignment="1" applyProtection="1">
      <alignment horizontal="center" vertical="center" wrapText="1"/>
      <protection/>
    </xf>
    <xf numFmtId="179" fontId="1" fillId="0" borderId="0" xfId="0" applyNumberFormat="1" applyFont="1" applyBorder="1" applyAlignment="1" quotePrefix="1">
      <alignment horizontal="center" vertical="center"/>
    </xf>
    <xf numFmtId="16" fontId="1" fillId="0" borderId="0" xfId="0" applyNumberFormat="1" applyFont="1" applyBorder="1" applyAlignment="1" quotePrefix="1">
      <alignment horizontal="center" vertical="center"/>
    </xf>
    <xf numFmtId="0" fontId="5" fillId="0" borderId="0" xfId="0" applyFont="1" applyAlignment="1">
      <alignment horizontal="center" vertical="center"/>
    </xf>
    <xf numFmtId="0" fontId="1" fillId="0" borderId="0" xfId="0" applyFont="1" applyAlignment="1">
      <alignment vertical="center" wrapText="1"/>
    </xf>
    <xf numFmtId="4" fontId="1" fillId="0" borderId="0" xfId="0" applyNumberFormat="1" applyFont="1" applyAlignment="1">
      <alignment horizontal="right" vertical="center"/>
    </xf>
    <xf numFmtId="4" fontId="4" fillId="0" borderId="0" xfId="0" applyNumberFormat="1" applyFont="1" applyAlignment="1">
      <alignment horizontal="right" vertical="center"/>
    </xf>
    <xf numFmtId="0" fontId="1" fillId="0" borderId="0" xfId="0" applyFont="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xf>
    <xf numFmtId="14" fontId="1" fillId="0" borderId="0" xfId="0" applyNumberFormat="1" applyFont="1" applyAlignment="1" quotePrefix="1">
      <alignment horizontal="center" vertical="center"/>
    </xf>
    <xf numFmtId="4" fontId="4" fillId="0" borderId="0" xfId="0" applyNumberFormat="1" applyFont="1" applyBorder="1" applyAlignment="1">
      <alignment horizontal="right" vertical="center"/>
    </xf>
    <xf numFmtId="14" fontId="1" fillId="0" borderId="0" xfId="0" applyNumberFormat="1" applyFont="1" applyFill="1" applyBorder="1" applyAlignment="1" quotePrefix="1">
      <alignment horizontal="center" vertical="center"/>
    </xf>
    <xf numFmtId="4" fontId="1" fillId="0" borderId="0" xfId="0" applyNumberFormat="1" applyFont="1" applyFill="1" applyBorder="1" applyAlignment="1" quotePrefix="1">
      <alignment horizontal="center" vertical="center"/>
    </xf>
    <xf numFmtId="0" fontId="1" fillId="0" borderId="0" xfId="0" applyFont="1" applyFill="1" applyAlignment="1" quotePrefix="1">
      <alignment horizontal="center" vertical="center"/>
    </xf>
    <xf numFmtId="0" fontId="1" fillId="0" borderId="0" xfId="0" applyFont="1" applyFill="1" applyAlignment="1">
      <alignment horizontal="left" vertical="center"/>
    </xf>
    <xf numFmtId="14" fontId="1" fillId="0" borderId="0" xfId="0" applyNumberFormat="1" applyFont="1" applyFill="1" applyBorder="1" applyAlignment="1">
      <alignment horizontal="center" vertical="center"/>
    </xf>
    <xf numFmtId="0" fontId="1" fillId="0" borderId="0" xfId="0" applyFont="1" applyFill="1" applyAlignment="1">
      <alignment vertical="center" wrapText="1"/>
    </xf>
    <xf numFmtId="4" fontId="1" fillId="0" borderId="0" xfId="0" applyNumberFormat="1" applyFont="1" applyFill="1" applyAlignment="1">
      <alignment horizontal="right" vertical="center"/>
    </xf>
    <xf numFmtId="4" fontId="4" fillId="0" borderId="0" xfId="0" applyNumberFormat="1" applyFont="1" applyFill="1" applyAlignment="1">
      <alignment horizontal="right" vertical="center"/>
    </xf>
    <xf numFmtId="14" fontId="1" fillId="0" borderId="0" xfId="0" applyNumberFormat="1" applyFont="1" applyFill="1" applyAlignment="1">
      <alignment horizontal="center" vertical="center"/>
    </xf>
    <xf numFmtId="4" fontId="1" fillId="0" borderId="0" xfId="0" applyNumberFormat="1" applyFont="1" applyAlignment="1">
      <alignment/>
    </xf>
    <xf numFmtId="0" fontId="1" fillId="0" borderId="0" xfId="0" applyFont="1" applyAlignment="1">
      <alignment horizontal="right" vertical="center"/>
    </xf>
    <xf numFmtId="4" fontId="1" fillId="0" borderId="0" xfId="0" applyNumberFormat="1" applyFont="1" applyAlignment="1">
      <alignment horizontal="center"/>
    </xf>
    <xf numFmtId="0" fontId="1" fillId="0" borderId="0" xfId="0" applyFont="1" applyAlignment="1">
      <alignment horizontal="center"/>
    </xf>
    <xf numFmtId="1" fontId="4" fillId="0" borderId="0" xfId="0" applyNumberFormat="1" applyFont="1" applyAlignment="1">
      <alignment horizontal="righ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0" fontId="4" fillId="0" borderId="0" xfId="0" applyFont="1" applyFill="1" applyAlignment="1" quotePrefix="1">
      <alignment horizontal="center" vertical="center"/>
    </xf>
    <xf numFmtId="0" fontId="4" fillId="0" borderId="0" xfId="0" applyFont="1" applyFill="1" applyBorder="1" applyAlignment="1" quotePrefix="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Alignment="1">
      <alignment vertical="center" wrapText="1"/>
    </xf>
    <xf numFmtId="14" fontId="4" fillId="0" borderId="0" xfId="0" applyNumberFormat="1" applyFont="1" applyFill="1" applyAlignment="1">
      <alignment horizontal="center" vertical="center"/>
    </xf>
    <xf numFmtId="4" fontId="4" fillId="0" borderId="0" xfId="0" applyNumberFormat="1" applyFont="1" applyAlignment="1">
      <alignment/>
    </xf>
    <xf numFmtId="4" fontId="1" fillId="0" borderId="0" xfId="0" applyNumberFormat="1" applyFont="1" applyAlignment="1">
      <alignment horizontal="right"/>
    </xf>
    <xf numFmtId="14" fontId="1" fillId="0" borderId="0" xfId="0" applyNumberFormat="1" applyFont="1" applyAlignment="1">
      <alignment horizontal="center"/>
    </xf>
    <xf numFmtId="0" fontId="1" fillId="0" borderId="0" xfId="0" applyFont="1" applyAlignment="1">
      <alignment/>
    </xf>
    <xf numFmtId="1" fontId="4" fillId="0" borderId="0" xfId="0" applyNumberFormat="1" applyFont="1" applyAlignment="1">
      <alignment/>
    </xf>
    <xf numFmtId="4" fontId="1" fillId="0" borderId="0" xfId="0" applyNumberFormat="1" applyFont="1" applyBorder="1" applyAlignment="1">
      <alignment horizontal="center" vertical="center"/>
    </xf>
    <xf numFmtId="14" fontId="1" fillId="0" borderId="0" xfId="0" applyNumberFormat="1" applyFont="1" applyAlignment="1">
      <alignment vertical="center"/>
    </xf>
    <xf numFmtId="4" fontId="1" fillId="0" borderId="0" xfId="0" applyNumberFormat="1" applyFont="1" applyFill="1" applyBorder="1" applyAlignment="1">
      <alignment horizontal="center" vertical="center"/>
    </xf>
    <xf numFmtId="14"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14"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Alignment="1" quotePrefix="1">
      <alignment vertical="center" wrapText="1"/>
    </xf>
    <xf numFmtId="1" fontId="4" fillId="0" borderId="0" xfId="0" applyNumberFormat="1" applyFont="1" applyFill="1" applyBorder="1" applyAlignment="1" quotePrefix="1">
      <alignment horizontal="right" vertical="center"/>
    </xf>
    <xf numFmtId="0" fontId="4" fillId="0" borderId="0" xfId="0" applyFont="1" applyFill="1" applyAlignment="1">
      <alignment horizontal="center"/>
    </xf>
    <xf numFmtId="4" fontId="3" fillId="0" borderId="0" xfId="0" applyNumberFormat="1" applyFont="1" applyAlignment="1">
      <alignment vertical="center" wrapText="1"/>
    </xf>
    <xf numFmtId="1"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1" fillId="0" borderId="0" xfId="0" applyNumberFormat="1" applyFont="1" applyBorder="1" applyAlignment="1">
      <alignment horizontal="center" vertical="center" wrapText="1"/>
    </xf>
    <xf numFmtId="14" fontId="1" fillId="0" borderId="0" xfId="0" applyNumberFormat="1" applyFont="1" applyFill="1" applyAlignment="1">
      <alignment horizontal="center" vertical="center" wrapText="1"/>
    </xf>
    <xf numFmtId="1" fontId="1" fillId="0" borderId="0" xfId="0" applyNumberFormat="1" applyFont="1" applyAlignment="1">
      <alignment horizontal="center"/>
    </xf>
    <xf numFmtId="1" fontId="4" fillId="0" borderId="0" xfId="0" applyNumberFormat="1" applyFont="1" applyFill="1" applyAlignment="1">
      <alignment horizontal="center" wrapText="1"/>
    </xf>
    <xf numFmtId="0" fontId="4" fillId="0" borderId="0" xfId="0" applyFont="1" applyFill="1" applyAlignment="1">
      <alignment horizontal="center" wrapText="1"/>
    </xf>
    <xf numFmtId="0" fontId="37" fillId="0" borderId="0" xfId="0" applyFont="1" applyAlignment="1">
      <alignment vertical="center" wrapText="1"/>
    </xf>
    <xf numFmtId="0" fontId="3" fillId="0" borderId="0" xfId="0" applyFont="1" applyAlignment="1">
      <alignment vertical="center" wrapText="1"/>
    </xf>
    <xf numFmtId="0" fontId="1" fillId="0" borderId="0" xfId="0" applyFont="1" applyBorder="1" applyAlignment="1">
      <alignment vertical="center" wrapText="1"/>
    </xf>
    <xf numFmtId="4" fontId="1" fillId="0" borderId="0" xfId="0" applyNumberFormat="1" applyFont="1" applyBorder="1" applyAlignment="1">
      <alignment vertical="center" wrapText="1"/>
    </xf>
    <xf numFmtId="4" fontId="36" fillId="0" borderId="0" xfId="0" applyNumberFormat="1" applyFont="1" applyBorder="1" applyAlignment="1">
      <alignment vertical="center" wrapText="1"/>
    </xf>
    <xf numFmtId="0" fontId="36" fillId="0" borderId="0" xfId="0" applyFont="1" applyBorder="1" applyAlignment="1">
      <alignment vertical="center" wrapText="1"/>
    </xf>
    <xf numFmtId="177" fontId="1" fillId="0" borderId="0" xfId="0" applyNumberFormat="1" applyFont="1" applyBorder="1" applyAlignment="1">
      <alignment vertical="center" wrapText="1"/>
    </xf>
    <xf numFmtId="1" fontId="1" fillId="0" borderId="0" xfId="0" applyNumberFormat="1" applyFont="1" applyAlignment="1" quotePrefix="1">
      <alignment horizontal="center" vertical="center" wrapText="1"/>
    </xf>
    <xf numFmtId="1" fontId="4" fillId="0" borderId="0" xfId="0" applyNumberFormat="1" applyFont="1" applyAlignment="1">
      <alignment horizontal="center" wrapText="1"/>
    </xf>
    <xf numFmtId="1" fontId="40" fillId="0" borderId="0" xfId="0" applyNumberFormat="1" applyFont="1" applyFill="1" applyBorder="1" applyAlignment="1">
      <alignment horizontal="center" vertical="center" textRotation="90" wrapText="1"/>
    </xf>
    <xf numFmtId="1" fontId="3" fillId="0" borderId="0" xfId="0" applyNumberFormat="1" applyFont="1" applyAlignment="1">
      <alignment horizontal="center"/>
    </xf>
    <xf numFmtId="14" fontId="1" fillId="0" borderId="0" xfId="0" applyNumberFormat="1" applyFont="1" applyBorder="1" applyAlignment="1">
      <alignment horizontal="center" vertical="center" wrapText="1"/>
    </xf>
    <xf numFmtId="4" fontId="3" fillId="0" borderId="0" xfId="0" applyNumberFormat="1" applyFont="1" applyAlignment="1">
      <alignment horizontal="center"/>
    </xf>
    <xf numFmtId="14" fontId="40" fillId="0" borderId="0" xfId="0" applyNumberFormat="1" applyFont="1" applyFill="1" applyBorder="1" applyAlignment="1">
      <alignment horizontal="center" vertical="center" textRotation="90" wrapText="1"/>
    </xf>
    <xf numFmtId="14" fontId="3" fillId="0" borderId="0" xfId="0" applyNumberFormat="1" applyFont="1" applyAlignment="1">
      <alignment horizontal="center"/>
    </xf>
    <xf numFmtId="14" fontId="4" fillId="0" borderId="0" xfId="0" applyNumberFormat="1" applyFont="1" applyAlignment="1">
      <alignment horizontal="center" wrapText="1"/>
    </xf>
    <xf numFmtId="14" fontId="1" fillId="0" borderId="0" xfId="0" applyNumberFormat="1" applyFont="1" applyAlignment="1" quotePrefix="1">
      <alignment horizontal="center" vertical="center" wrapText="1"/>
    </xf>
    <xf numFmtId="4" fontId="15" fillId="0" borderId="0" xfId="0" applyNumberFormat="1" applyFont="1" applyFill="1" applyBorder="1" applyAlignment="1">
      <alignment horizontal="center" vertical="center" textRotation="90" wrapText="1"/>
    </xf>
    <xf numFmtId="4" fontId="5" fillId="0" borderId="0" xfId="0" applyNumberFormat="1" applyFont="1" applyAlignment="1">
      <alignment horizontal="center" wrapText="1"/>
    </xf>
    <xf numFmtId="4" fontId="3" fillId="24" borderId="0" xfId="0" applyNumberFormat="1" applyFont="1" applyFill="1" applyAlignment="1">
      <alignment/>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4" fontId="10" fillId="0" borderId="0" xfId="0" applyNumberFormat="1" applyFont="1" applyBorder="1" applyAlignment="1">
      <alignment vertical="center" wrapText="1"/>
    </xf>
    <xf numFmtId="171" fontId="0" fillId="0" borderId="0" xfId="0" applyNumberFormat="1" applyFill="1" applyAlignment="1">
      <alignment vertical="top" wrapText="1"/>
    </xf>
    <xf numFmtId="0" fontId="11" fillId="0" borderId="0" xfId="0" applyNumberFormat="1" applyFont="1" applyAlignment="1">
      <alignment vertical="center" wrapText="1"/>
    </xf>
    <xf numFmtId="0" fontId="10" fillId="0" borderId="0" xfId="0" applyNumberFormat="1" applyFont="1" applyAlignment="1">
      <alignment vertical="center" wrapText="1"/>
    </xf>
    <xf numFmtId="0" fontId="10" fillId="0" borderId="0" xfId="0" applyNumberFormat="1" applyFont="1" applyBorder="1" applyAlignment="1">
      <alignment vertical="center" wrapText="1"/>
    </xf>
    <xf numFmtId="0" fontId="40" fillId="0" borderId="0" xfId="0" applyNumberFormat="1" applyFont="1" applyAlignment="1">
      <alignment vertical="center"/>
    </xf>
    <xf numFmtId="0" fontId="42" fillId="0" borderId="0" xfId="0" applyFont="1" applyAlignment="1">
      <alignment vertical="center" wrapText="1"/>
    </xf>
    <xf numFmtId="0" fontId="1" fillId="0" borderId="0" xfId="0" applyFont="1" applyBorder="1" applyAlignment="1">
      <alignment horizontal="center" vertical="center" textRotation="90"/>
    </xf>
    <xf numFmtId="0" fontId="1" fillId="0" borderId="0" xfId="0" applyFont="1" applyFill="1" applyBorder="1" applyAlignment="1">
      <alignment horizontal="center" vertical="center" textRotation="90"/>
    </xf>
    <xf numFmtId="0" fontId="1" fillId="0" borderId="0" xfId="0" applyFont="1" applyFill="1" applyBorder="1" applyAlignment="1" quotePrefix="1">
      <alignment vertical="center"/>
    </xf>
    <xf numFmtId="0" fontId="4" fillId="0" borderId="0" xfId="0" applyFont="1" applyFill="1" applyBorder="1" applyAlignment="1">
      <alignment vertical="center"/>
    </xf>
    <xf numFmtId="0" fontId="4" fillId="0" borderId="0" xfId="0" applyFont="1" applyFill="1" applyAlignment="1">
      <alignment vertical="center"/>
    </xf>
    <xf numFmtId="4" fontId="1" fillId="0" borderId="0" xfId="0" applyNumberFormat="1" applyFont="1" applyFill="1" applyBorder="1" applyAlignment="1">
      <alignment horizontal="center" vertical="center" textRotation="90"/>
    </xf>
    <xf numFmtId="4" fontId="1" fillId="0" borderId="0" xfId="0" applyNumberFormat="1" applyFont="1" applyFill="1" applyBorder="1" applyAlignment="1">
      <alignment horizontal="left" vertical="center"/>
    </xf>
    <xf numFmtId="4" fontId="1" fillId="0" borderId="0" xfId="0" applyNumberFormat="1" applyFont="1" applyBorder="1" applyAlignment="1">
      <alignment horizontal="left" vertical="center"/>
    </xf>
    <xf numFmtId="4" fontId="1" fillId="0" borderId="0" xfId="0" applyNumberFormat="1" applyFont="1" applyAlignment="1">
      <alignment horizontal="left" vertical="center"/>
    </xf>
    <xf numFmtId="4" fontId="1" fillId="0" borderId="0" xfId="0" applyNumberFormat="1" applyFont="1" applyFill="1" applyAlignment="1">
      <alignment horizontal="left" vertical="center"/>
    </xf>
    <xf numFmtId="4" fontId="4" fillId="0" borderId="0" xfId="0" applyNumberFormat="1" applyFont="1" applyFill="1" applyBorder="1" applyAlignment="1">
      <alignment horizontal="left" vertical="center"/>
    </xf>
    <xf numFmtId="4" fontId="4" fillId="0" borderId="0" xfId="0" applyNumberFormat="1" applyFont="1" applyFill="1" applyAlignment="1">
      <alignment horizontal="left" vertical="center"/>
    </xf>
    <xf numFmtId="4" fontId="1" fillId="0" borderId="0" xfId="0" applyNumberFormat="1" applyFont="1" applyAlignment="1">
      <alignment horizontal="left"/>
    </xf>
    <xf numFmtId="0" fontId="1" fillId="0" borderId="0" xfId="0" applyFont="1" applyAlignment="1">
      <alignment horizontal="center" vertical="center" textRotation="90"/>
    </xf>
    <xf numFmtId="0" fontId="4" fillId="0" borderId="0" xfId="0" applyFont="1" applyFill="1" applyAlignment="1">
      <alignment/>
    </xf>
    <xf numFmtId="0" fontId="1" fillId="0" borderId="0" xfId="0" applyFont="1" applyAlignment="1" quotePrefix="1">
      <alignment vertical="center"/>
    </xf>
    <xf numFmtId="0" fontId="1" fillId="0" borderId="0" xfId="0" applyFont="1" applyFill="1" applyAlignment="1" quotePrefix="1">
      <alignment vertical="center"/>
    </xf>
    <xf numFmtId="1" fontId="1" fillId="0" borderId="0" xfId="0" applyNumberFormat="1" applyFont="1" applyAlignment="1">
      <alignment horizontal="left" vertical="center"/>
    </xf>
    <xf numFmtId="4" fontId="40" fillId="0" borderId="0" xfId="0" applyNumberFormat="1" applyFont="1" applyAlignment="1">
      <alignment vertical="center"/>
    </xf>
    <xf numFmtId="1" fontId="1" fillId="0" borderId="0" xfId="0" applyNumberFormat="1" applyFont="1" applyAlignment="1">
      <alignment horizontal="center" vertical="center"/>
    </xf>
    <xf numFmtId="1" fontId="1" fillId="0" borderId="0" xfId="0" applyNumberFormat="1" applyFont="1" applyFill="1" applyAlignment="1">
      <alignment horizontal="center" vertical="center"/>
    </xf>
    <xf numFmtId="4" fontId="1" fillId="0" borderId="0" xfId="0" applyNumberFormat="1" applyFont="1" applyAlignment="1">
      <alignment horizontal="center" vertical="center" textRotation="90" wrapText="1"/>
    </xf>
    <xf numFmtId="4" fontId="1" fillId="0" borderId="0" xfId="0" applyNumberFormat="1" applyFont="1" applyAlignment="1">
      <alignment horizontal="center" vertical="center"/>
    </xf>
    <xf numFmtId="4" fontId="1" fillId="0" borderId="0" xfId="0" applyNumberFormat="1" applyFont="1" applyFill="1" applyAlignment="1">
      <alignment horizontal="center" vertical="center"/>
    </xf>
    <xf numFmtId="4" fontId="4" fillId="0" borderId="0" xfId="0" applyNumberFormat="1" applyFont="1" applyFill="1" applyBorder="1" applyAlignment="1">
      <alignment horizontal="center" vertical="center"/>
    </xf>
    <xf numFmtId="4" fontId="4" fillId="0" borderId="0" xfId="0" applyNumberFormat="1" applyFont="1" applyFill="1" applyAlignment="1">
      <alignment horizontal="center"/>
    </xf>
    <xf numFmtId="4" fontId="1" fillId="0" borderId="0" xfId="0" applyNumberFormat="1" applyFont="1" applyAlignment="1" quotePrefix="1">
      <alignment horizontal="center" vertical="center" textRotation="90" wrapText="1"/>
    </xf>
    <xf numFmtId="0" fontId="40" fillId="0" borderId="0" xfId="0" applyFont="1" applyFill="1" applyBorder="1" applyAlignment="1">
      <alignment horizontal="center"/>
    </xf>
    <xf numFmtId="14" fontId="40" fillId="0" borderId="0" xfId="0" applyNumberFormat="1" applyFont="1" applyFill="1" applyBorder="1" applyAlignment="1">
      <alignment horizont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0" fontId="10" fillId="0" borderId="0" xfId="0" applyNumberFormat="1" applyFont="1" applyAlignment="1">
      <alignment horizontal="center" vertical="center" wrapText="1"/>
    </xf>
    <xf numFmtId="0" fontId="1" fillId="0" borderId="0" xfId="0" applyFont="1" applyAlignment="1">
      <alignment horizontal="center" wrapText="1"/>
    </xf>
    <xf numFmtId="0" fontId="10" fillId="0" borderId="0" xfId="0" applyFont="1" applyAlignment="1" quotePrefix="1">
      <alignment vertical="center" wrapText="1"/>
    </xf>
    <xf numFmtId="0" fontId="10" fillId="0" borderId="0" xfId="0" applyFont="1" applyFill="1" applyBorder="1" applyAlignment="1">
      <alignment horizontal="center"/>
    </xf>
    <xf numFmtId="14" fontId="10" fillId="0" borderId="0" xfId="0" applyNumberFormat="1" applyFont="1" applyFill="1" applyBorder="1" applyAlignment="1">
      <alignment horizontal="center"/>
    </xf>
    <xf numFmtId="4" fontId="42" fillId="0" borderId="0" xfId="0" applyNumberFormat="1" applyFont="1" applyAlignment="1">
      <alignment vertical="center" wrapText="1"/>
    </xf>
    <xf numFmtId="4" fontId="42" fillId="0" borderId="0" xfId="0" applyNumberFormat="1" applyFont="1" applyBorder="1" applyAlignment="1">
      <alignment vertical="center" wrapText="1"/>
    </xf>
    <xf numFmtId="0" fontId="10" fillId="0" borderId="0" xfId="0" applyNumberFormat="1" applyFont="1" applyAlignment="1" quotePrefix="1">
      <alignment vertical="center" wrapText="1"/>
    </xf>
    <xf numFmtId="0" fontId="12" fillId="25" borderId="0" xfId="0" applyFont="1" applyFill="1" applyBorder="1" applyAlignment="1">
      <alignment horizontal="center" vertical="top" wrapText="1"/>
    </xf>
    <xf numFmtId="4" fontId="42" fillId="0" borderId="0" xfId="0" applyNumberFormat="1" applyFont="1" applyFill="1" applyBorder="1" applyAlignment="1">
      <alignment horizontal="center" vertical="center" textRotation="90" wrapText="1"/>
    </xf>
    <xf numFmtId="1" fontId="42" fillId="0" borderId="0" xfId="0" applyNumberFormat="1" applyFont="1" applyFill="1" applyBorder="1" applyAlignment="1">
      <alignment horizontal="center" vertical="center" textRotation="90" wrapText="1"/>
    </xf>
    <xf numFmtId="14" fontId="42" fillId="0" borderId="0" xfId="0" applyNumberFormat="1" applyFont="1" applyFill="1" applyBorder="1" applyAlignment="1">
      <alignment horizontal="center" vertical="center" textRotation="90" wrapText="1"/>
    </xf>
    <xf numFmtId="14" fontId="10" fillId="0" borderId="0" xfId="0" applyNumberFormat="1" applyFont="1" applyAlignment="1">
      <alignment horizontal="center" vertical="center"/>
    </xf>
    <xf numFmtId="14" fontId="10" fillId="0" borderId="0" xfId="0" applyNumberFormat="1" applyFont="1" applyBorder="1" applyAlignment="1">
      <alignment horizontal="center" vertical="center"/>
    </xf>
    <xf numFmtId="14" fontId="10" fillId="0" borderId="0" xfId="0" applyNumberFormat="1" applyFont="1" applyFill="1" applyAlignment="1">
      <alignment horizontal="center" vertical="center"/>
    </xf>
    <xf numFmtId="14" fontId="10" fillId="0" borderId="0" xfId="0" applyNumberFormat="1" applyFont="1" applyFill="1" applyBorder="1" applyAlignment="1">
      <alignment horizontal="center" vertical="center"/>
    </xf>
    <xf numFmtId="2" fontId="16" fillId="3" borderId="0" xfId="0" applyNumberFormat="1" applyFont="1" applyFill="1" applyBorder="1" applyAlignment="1" applyProtection="1">
      <alignment vertical="top" wrapText="1"/>
      <protection locked="0"/>
    </xf>
    <xf numFmtId="1" fontId="4" fillId="0" borderId="0" xfId="0" applyNumberFormat="1" applyFont="1" applyFill="1" applyAlignment="1">
      <alignment horizontal="center" vertical="center"/>
    </xf>
    <xf numFmtId="4" fontId="6" fillId="0" borderId="20" xfId="0" applyNumberFormat="1" applyFont="1" applyBorder="1" applyAlignment="1">
      <alignment horizontal="right" wrapText="1"/>
    </xf>
    <xf numFmtId="0" fontId="6" fillId="0" borderId="21" xfId="0" applyFont="1" applyBorder="1" applyAlignment="1">
      <alignment horizontal="right" wrapText="1"/>
    </xf>
    <xf numFmtId="4" fontId="6" fillId="0" borderId="19" xfId="0" applyNumberFormat="1" applyFont="1" applyBorder="1" applyAlignment="1">
      <alignment horizontal="right" wrapText="1"/>
    </xf>
    <xf numFmtId="4" fontId="6" fillId="0" borderId="18" xfId="0" applyNumberFormat="1" applyFont="1" applyBorder="1" applyAlignment="1">
      <alignment horizontal="right" wrapText="1"/>
    </xf>
    <xf numFmtId="0" fontId="6" fillId="0" borderId="18" xfId="0" applyFont="1" applyBorder="1" applyAlignment="1">
      <alignment horizontal="right" wrapText="1"/>
    </xf>
    <xf numFmtId="0" fontId="6" fillId="0" borderId="19" xfId="0" applyFont="1" applyBorder="1" applyAlignment="1">
      <alignment horizontal="right" wrapText="1"/>
    </xf>
    <xf numFmtId="4" fontId="6" fillId="0" borderId="0" xfId="0" applyNumberFormat="1" applyFont="1" applyAlignment="1">
      <alignment/>
    </xf>
    <xf numFmtId="0" fontId="1" fillId="0" borderId="0" xfId="0" applyNumberFormat="1" applyFont="1" applyAlignment="1" quotePrefix="1">
      <alignment horizontal="center" vertical="center"/>
    </xf>
    <xf numFmtId="0" fontId="1" fillId="0" borderId="0" xfId="0" applyNumberFormat="1" applyFont="1" applyFill="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center"/>
    </xf>
    <xf numFmtId="0" fontId="4" fillId="0" borderId="0" xfId="0" applyNumberFormat="1" applyFont="1" applyFill="1" applyAlignment="1">
      <alignment horizontal="center"/>
    </xf>
    <xf numFmtId="0" fontId="1" fillId="0" borderId="0" xfId="0" applyNumberFormat="1" applyFont="1" applyFill="1" applyAlignment="1" quotePrefix="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vertical="center"/>
    </xf>
    <xf numFmtId="0" fontId="1" fillId="0" borderId="0" xfId="0" applyFont="1" applyFill="1" applyAlignment="1">
      <alignment vertical="center"/>
    </xf>
    <xf numFmtId="14" fontId="1" fillId="0" borderId="0" xfId="0" applyNumberFormat="1" applyFont="1" applyAlignment="1">
      <alignment horizontal="center" vertical="center"/>
    </xf>
    <xf numFmtId="1" fontId="1" fillId="0" borderId="0" xfId="0" applyNumberFormat="1" applyFont="1" applyAlignment="1">
      <alignment horizontal="center" vertical="center"/>
    </xf>
    <xf numFmtId="1" fontId="1" fillId="0" borderId="0" xfId="0" applyNumberFormat="1" applyFont="1" applyBorder="1" applyAlignment="1">
      <alignment horizontal="center" vertical="center"/>
    </xf>
    <xf numFmtId="14" fontId="1" fillId="0" borderId="0" xfId="0" applyNumberFormat="1" applyFont="1" applyBorder="1" applyAlignment="1" quotePrefix="1">
      <alignment horizontal="center" vertical="center"/>
    </xf>
    <xf numFmtId="0" fontId="1" fillId="0" borderId="0" xfId="0" applyFont="1" applyFill="1" applyBorder="1" applyAlignment="1">
      <alignment vertical="center" wrapText="1"/>
    </xf>
    <xf numFmtId="4" fontId="1" fillId="0" borderId="0" xfId="0" applyNumberFormat="1" applyFont="1" applyAlignment="1">
      <alignment vertical="center"/>
    </xf>
    <xf numFmtId="14" fontId="1" fillId="0" borderId="0" xfId="0" applyNumberFormat="1" applyFont="1" applyBorder="1" applyAlignment="1">
      <alignment horizontal="center" vertical="center"/>
    </xf>
    <xf numFmtId="0" fontId="1" fillId="0" borderId="0" xfId="0" applyFont="1" applyBorder="1" applyAlignment="1">
      <alignment horizontal="center" vertical="center"/>
    </xf>
    <xf numFmtId="1"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 fontId="1" fillId="0" borderId="0" xfId="0" applyNumberFormat="1" applyFont="1" applyBorder="1" applyAlignment="1">
      <alignment horizontal="center" vertical="center" wrapText="1"/>
    </xf>
    <xf numFmtId="14" fontId="1" fillId="0" borderId="0" xfId="0" applyNumberFormat="1" applyFont="1" applyBorder="1" applyAlignment="1" quotePrefix="1">
      <alignment horizontal="center" vertical="center" wrapText="1"/>
    </xf>
    <xf numFmtId="14"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wrapText="1"/>
    </xf>
    <xf numFmtId="1" fontId="1" fillId="0" borderId="0" xfId="0" applyNumberFormat="1" applyFont="1" applyAlignment="1">
      <alignment horizontal="center" vertical="center" wrapText="1"/>
    </xf>
    <xf numFmtId="1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4" fontId="1" fillId="0" borderId="0" xfId="0" applyNumberFormat="1" applyFont="1" applyFill="1" applyAlignment="1">
      <alignment horizontal="center" vertical="center" wrapText="1"/>
    </xf>
    <xf numFmtId="1"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169" fontId="1" fillId="0" borderId="0" xfId="0" applyNumberFormat="1" applyFont="1" applyAlignment="1" quotePrefix="1">
      <alignment horizontal="center" vertical="center" wrapText="1"/>
    </xf>
    <xf numFmtId="0" fontId="3" fillId="0" borderId="0" xfId="0" applyFont="1" applyAlignment="1">
      <alignment vertical="center"/>
    </xf>
    <xf numFmtId="4" fontId="3" fillId="0" borderId="0" xfId="0" applyNumberFormat="1" applyFont="1" applyAlignment="1">
      <alignment vertical="center"/>
    </xf>
    <xf numFmtId="168" fontId="3" fillId="0" borderId="0" xfId="0" applyNumberFormat="1" applyFont="1" applyAlignment="1">
      <alignment vertical="center"/>
    </xf>
    <xf numFmtId="0" fontId="3" fillId="24" borderId="0" xfId="0" applyFont="1" applyFill="1" applyAlignment="1">
      <alignment horizontal="center" vertical="center"/>
    </xf>
    <xf numFmtId="0" fontId="3" fillId="24" borderId="0" xfId="0" applyFont="1" applyFill="1" applyAlignment="1">
      <alignment vertical="center" wrapText="1"/>
    </xf>
    <xf numFmtId="0" fontId="3" fillId="24" borderId="0" xfId="0" applyFont="1" applyFill="1" applyAlignment="1">
      <alignment vertical="center"/>
    </xf>
    <xf numFmtId="4" fontId="3" fillId="24" borderId="0" xfId="0" applyNumberFormat="1" applyFont="1" applyFill="1" applyAlignment="1">
      <alignment vertical="center"/>
    </xf>
    <xf numFmtId="0" fontId="1" fillId="24" borderId="0" xfId="0" applyFont="1" applyFill="1" applyAlignment="1">
      <alignment vertical="center"/>
    </xf>
    <xf numFmtId="0" fontId="5" fillId="0" borderId="0" xfId="0" applyFont="1" applyAlignment="1">
      <alignment vertical="center" wrapText="1"/>
    </xf>
    <xf numFmtId="0" fontId="5" fillId="0" borderId="0" xfId="0" applyFont="1" applyAlignment="1">
      <alignment vertical="center"/>
    </xf>
    <xf numFmtId="4" fontId="5" fillId="0" borderId="0" xfId="0" applyNumberFormat="1" applyFont="1" applyAlignment="1">
      <alignment vertical="center"/>
    </xf>
    <xf numFmtId="0" fontId="1" fillId="0" borderId="0" xfId="0" applyFont="1" applyFill="1" applyBorder="1" applyAlignment="1">
      <alignment horizontal="center"/>
    </xf>
    <xf numFmtId="14" fontId="1" fillId="0" borderId="0" xfId="0" applyNumberFormat="1" applyFont="1" applyFill="1" applyBorder="1" applyAlignment="1">
      <alignment horizontal="center"/>
    </xf>
    <xf numFmtId="0" fontId="1" fillId="0" borderId="0" xfId="0" applyFont="1" applyFill="1" applyBorder="1" applyAlignment="1">
      <alignment horizontal="left"/>
    </xf>
    <xf numFmtId="4" fontId="1" fillId="0" borderId="0" xfId="0" applyNumberFormat="1" applyFont="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left"/>
    </xf>
    <xf numFmtId="4" fontId="4" fillId="0" borderId="0" xfId="0" applyNumberFormat="1" applyFont="1" applyAlignment="1">
      <alignment vertical="center"/>
    </xf>
    <xf numFmtId="0" fontId="1" fillId="0" borderId="0" xfId="0" applyFont="1" applyFill="1" applyBorder="1" applyAlignment="1">
      <alignment wrapText="1"/>
    </xf>
    <xf numFmtId="0" fontId="1" fillId="0" borderId="0" xfId="0" applyFont="1" applyFill="1" applyBorder="1" applyAlignment="1" quotePrefix="1">
      <alignment horizontal="center"/>
    </xf>
    <xf numFmtId="14" fontId="1" fillId="0" borderId="0" xfId="0" applyNumberFormat="1" applyFont="1" applyFill="1" applyBorder="1" applyAlignment="1" quotePrefix="1">
      <alignment horizontal="center"/>
    </xf>
    <xf numFmtId="0" fontId="4" fillId="0" borderId="0" xfId="0" applyFont="1" applyFill="1" applyBorder="1" applyAlignment="1">
      <alignment horizontal="center"/>
    </xf>
    <xf numFmtId="0" fontId="4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44" fillId="0" borderId="0" xfId="0" applyFont="1" applyFill="1" applyBorder="1" applyAlignment="1">
      <alignment horizontal="left"/>
    </xf>
    <xf numFmtId="0" fontId="1" fillId="24" borderId="0" xfId="0" applyFont="1" applyFill="1" applyAlignment="1">
      <alignment horizontal="center" vertical="center"/>
    </xf>
    <xf numFmtId="0" fontId="1" fillId="24" borderId="0" xfId="0" applyFont="1" applyFill="1" applyAlignment="1">
      <alignment vertical="center" wrapText="1"/>
    </xf>
    <xf numFmtId="4" fontId="1" fillId="0" borderId="0" xfId="0" applyNumberFormat="1" applyFont="1" applyFill="1" applyBorder="1" applyAlignment="1">
      <alignment horizontal="right"/>
    </xf>
    <xf numFmtId="4" fontId="5" fillId="0" borderId="0" xfId="0" applyNumberFormat="1" applyFont="1" applyAlignment="1">
      <alignment vertical="center"/>
    </xf>
    <xf numFmtId="4" fontId="0" fillId="0" borderId="0" xfId="0" applyNumberFormat="1" applyAlignment="1">
      <alignment/>
    </xf>
    <xf numFmtId="0" fontId="2" fillId="0" borderId="20" xfId="0" applyFont="1" applyBorder="1" applyAlignment="1">
      <alignment horizontal="center"/>
    </xf>
    <xf numFmtId="1" fontId="2" fillId="0" borderId="20" xfId="0" applyNumberFormat="1" applyFont="1" applyBorder="1" applyAlignment="1">
      <alignment horizontal="center"/>
    </xf>
    <xf numFmtId="0" fontId="2" fillId="0" borderId="0" xfId="0" applyFont="1" applyAlignment="1">
      <alignment horizontal="center"/>
    </xf>
    <xf numFmtId="0" fontId="0" fillId="0" borderId="20" xfId="0" applyFont="1" applyBorder="1" applyAlignment="1">
      <alignment/>
    </xf>
    <xf numFmtId="4" fontId="0" fillId="0" borderId="20" xfId="0" applyNumberFormat="1" applyFont="1" applyBorder="1" applyAlignment="1">
      <alignment/>
    </xf>
    <xf numFmtId="0" fontId="2" fillId="0" borderId="20" xfId="0" applyFont="1" applyBorder="1" applyAlignment="1">
      <alignment horizontal="right"/>
    </xf>
    <xf numFmtId="4" fontId="2" fillId="0" borderId="20" xfId="0" applyNumberFormat="1" applyFont="1" applyBorder="1" applyAlignment="1">
      <alignment/>
    </xf>
    <xf numFmtId="4" fontId="2" fillId="0" borderId="0" xfId="0" applyNumberFormat="1" applyFont="1" applyAlignment="1">
      <alignment/>
    </xf>
    <xf numFmtId="0" fontId="2" fillId="0" borderId="16" xfId="0" applyFont="1" applyFill="1" applyBorder="1" applyAlignment="1">
      <alignment/>
    </xf>
    <xf numFmtId="4" fontId="31" fillId="27" borderId="0" xfId="0" applyNumberFormat="1" applyFont="1" applyFill="1" applyBorder="1" applyAlignment="1" applyProtection="1">
      <alignment vertical="top" wrapText="1"/>
      <protection locked="0"/>
    </xf>
    <xf numFmtId="0" fontId="4" fillId="0" borderId="0" xfId="0" applyFont="1" applyAlignment="1">
      <alignment horizontal="center"/>
    </xf>
    <xf numFmtId="1" fontId="4" fillId="0" borderId="0" xfId="0" applyNumberFormat="1" applyFont="1" applyAlignment="1">
      <alignment horizontal="center" vertical="center"/>
    </xf>
    <xf numFmtId="1" fontId="4" fillId="0" borderId="0" xfId="0" applyNumberFormat="1" applyFont="1" applyBorder="1" applyAlignment="1">
      <alignment horizontal="center" vertical="center"/>
    </xf>
    <xf numFmtId="4" fontId="0" fillId="0" borderId="0" xfId="0" applyNumberFormat="1" applyFill="1" applyAlignment="1">
      <alignment vertical="top" wrapText="1"/>
    </xf>
    <xf numFmtId="0" fontId="3" fillId="24" borderId="0" xfId="0" applyFont="1" applyFill="1" applyAlignment="1">
      <alignment horizontal="right" vertical="center"/>
    </xf>
    <xf numFmtId="4" fontId="3" fillId="24" borderId="0" xfId="0" applyNumberFormat="1" applyFont="1" applyFill="1" applyAlignment="1">
      <alignment horizontal="left" vertical="center"/>
    </xf>
    <xf numFmtId="4" fontId="5" fillId="24" borderId="0" xfId="0" applyNumberFormat="1" applyFont="1" applyFill="1" applyAlignment="1">
      <alignment horizontal="right" vertical="center"/>
    </xf>
    <xf numFmtId="4" fontId="3" fillId="24" borderId="0" xfId="0" applyNumberFormat="1" applyFont="1" applyFill="1" applyAlignment="1">
      <alignment horizontal="right" vertical="center"/>
    </xf>
    <xf numFmtId="14" fontId="3" fillId="24" borderId="0" xfId="0" applyNumberFormat="1" applyFont="1" applyFill="1" applyAlignment="1">
      <alignment horizontal="center" vertical="center"/>
    </xf>
    <xf numFmtId="0" fontId="3" fillId="24" borderId="0" xfId="0" applyFont="1" applyFill="1" applyAlignment="1">
      <alignment horizontal="center" vertical="center" wrapText="1"/>
    </xf>
    <xf numFmtId="0" fontId="3" fillId="24" borderId="0" xfId="0" applyFont="1" applyFill="1" applyAlignment="1">
      <alignment horizontal="left" vertical="center"/>
    </xf>
    <xf numFmtId="4" fontId="3" fillId="24" borderId="0" xfId="0" applyNumberFormat="1" applyFont="1" applyFill="1" applyAlignment="1">
      <alignment horizontal="center"/>
    </xf>
    <xf numFmtId="0" fontId="3" fillId="24" borderId="0" xfId="0" applyFont="1" applyFill="1" applyAlignment="1">
      <alignment/>
    </xf>
    <xf numFmtId="0" fontId="3" fillId="24" borderId="0" xfId="0" applyFont="1" applyFill="1" applyAlignment="1">
      <alignment/>
    </xf>
    <xf numFmtId="0" fontId="3" fillId="24" borderId="0" xfId="0" applyFont="1" applyFill="1" applyAlignment="1">
      <alignment horizontal="center"/>
    </xf>
    <xf numFmtId="1" fontId="5" fillId="24" borderId="0" xfId="0" applyNumberFormat="1" applyFont="1" applyFill="1" applyAlignment="1">
      <alignment horizontal="right" vertical="center"/>
    </xf>
    <xf numFmtId="1" fontId="3" fillId="24" borderId="0" xfId="0" applyNumberFormat="1" applyFont="1" applyFill="1" applyAlignment="1">
      <alignment horizontal="center"/>
    </xf>
    <xf numFmtId="1" fontId="3" fillId="24" borderId="0" xfId="0" applyNumberFormat="1" applyFont="1" applyFill="1" applyAlignment="1">
      <alignment horizontal="center" wrapText="1"/>
    </xf>
    <xf numFmtId="14" fontId="3" fillId="24" borderId="0" xfId="0" applyNumberFormat="1" applyFont="1" applyFill="1" applyAlignment="1">
      <alignment horizontal="center" wrapText="1"/>
    </xf>
    <xf numFmtId="0" fontId="3" fillId="24" borderId="0" xfId="0" applyNumberFormat="1" applyFont="1" applyFill="1" applyAlignment="1">
      <alignment horizontal="center"/>
    </xf>
    <xf numFmtId="0" fontId="41" fillId="0" borderId="0" xfId="36" applyFont="1" applyBorder="1" applyAlignment="1" applyProtection="1">
      <alignment horizontal="left" vertical="center"/>
      <protection/>
    </xf>
    <xf numFmtId="0" fontId="1" fillId="0" borderId="0" xfId="0" applyFont="1" applyFill="1" applyAlignment="1" quotePrefix="1">
      <alignment horizontal="left" vertical="center"/>
    </xf>
    <xf numFmtId="1" fontId="41" fillId="0" borderId="0" xfId="36" applyNumberFormat="1" applyFont="1" applyFill="1" applyBorder="1" applyAlignment="1" applyProtection="1">
      <alignment horizontal="left" vertical="center"/>
      <protection/>
    </xf>
    <xf numFmtId="1" fontId="41" fillId="0" borderId="0" xfId="36" applyNumberFormat="1" applyFont="1" applyBorder="1" applyAlignment="1" applyProtection="1">
      <alignment horizontal="left" vertical="center"/>
      <protection/>
    </xf>
    <xf numFmtId="0" fontId="41" fillId="0" borderId="0" xfId="36" applyFont="1" applyAlignment="1" applyProtection="1">
      <alignment horizontal="left" vertical="center"/>
      <protection/>
    </xf>
    <xf numFmtId="0" fontId="41" fillId="0" borderId="0" xfId="36" applyFont="1" applyFill="1" applyAlignment="1" applyProtection="1">
      <alignment horizontal="left" vertical="center"/>
      <protection/>
    </xf>
    <xf numFmtId="4" fontId="1" fillId="0" borderId="0" xfId="0" applyNumberFormat="1" applyFont="1" applyFill="1" applyAlignment="1">
      <alignment vertical="top" wrapText="1"/>
    </xf>
    <xf numFmtId="14" fontId="4" fillId="0" borderId="0" xfId="0" applyNumberFormat="1" applyFont="1" applyAlignment="1">
      <alignment horizontal="center" vertical="center"/>
    </xf>
    <xf numFmtId="0" fontId="19" fillId="20" borderId="0" xfId="0" applyFont="1" applyFill="1" applyBorder="1" applyAlignment="1">
      <alignment horizontal="center" vertical="top" wrapText="1"/>
    </xf>
    <xf numFmtId="0" fontId="12" fillId="20" borderId="0" xfId="0" applyFont="1" applyFill="1" applyBorder="1" applyAlignment="1">
      <alignment horizontal="center" vertical="top" wrapText="1"/>
    </xf>
    <xf numFmtId="0" fontId="19" fillId="25" borderId="0" xfId="0" applyFont="1" applyFill="1" applyBorder="1" applyAlignment="1">
      <alignment horizontal="center" vertical="top" wrapText="1"/>
    </xf>
    <xf numFmtId="0" fontId="31" fillId="0" borderId="0" xfId="0" applyFont="1" applyFill="1" applyAlignment="1">
      <alignment vertical="top" wrapText="1"/>
    </xf>
    <xf numFmtId="4" fontId="1" fillId="0" borderId="0" xfId="0" applyNumberFormat="1" applyFont="1" applyBorder="1" applyAlignment="1">
      <alignment/>
    </xf>
    <xf numFmtId="4" fontId="31" fillId="0" borderId="0" xfId="0" applyNumberFormat="1" applyFont="1" applyFill="1" applyAlignment="1">
      <alignment vertical="top" wrapText="1"/>
    </xf>
    <xf numFmtId="10" fontId="1" fillId="0" borderId="0" xfId="0" applyNumberFormat="1" applyFont="1" applyFill="1" applyAlignment="1">
      <alignment vertical="top" wrapText="1"/>
    </xf>
    <xf numFmtId="172" fontId="0" fillId="0" borderId="0" xfId="0" applyNumberFormat="1" applyFill="1" applyAlignment="1">
      <alignment vertical="top" wrapText="1"/>
    </xf>
    <xf numFmtId="0" fontId="1" fillId="0" borderId="0" xfId="0" applyFont="1" applyFill="1" applyBorder="1" applyAlignment="1">
      <alignment horizontal="left" vertical="center"/>
    </xf>
    <xf numFmtId="171" fontId="1" fillId="0" borderId="0" xfId="0" applyNumberFormat="1" applyFont="1" applyBorder="1" applyAlignment="1">
      <alignment horizontal="right" wrapText="1"/>
    </xf>
    <xf numFmtId="167" fontId="8" fillId="0" borderId="0" xfId="0" applyNumberFormat="1" applyFont="1" applyFill="1" applyBorder="1" applyAlignment="1" applyProtection="1">
      <alignment horizontal="right" vertical="top" wrapText="1"/>
      <protection locked="0"/>
    </xf>
    <xf numFmtId="167" fontId="31" fillId="3" borderId="0" xfId="0" applyNumberFormat="1" applyFont="1" applyFill="1" applyBorder="1" applyAlignment="1" applyProtection="1">
      <alignment vertical="top" wrapText="1"/>
      <protection locked="0"/>
    </xf>
    <xf numFmtId="167" fontId="3" fillId="0" borderId="0" xfId="0" applyNumberFormat="1" applyFont="1" applyFill="1" applyAlignment="1">
      <alignment vertical="top" wrapText="1"/>
    </xf>
    <xf numFmtId="167" fontId="1" fillId="0" borderId="0" xfId="0" applyNumberFormat="1" applyFont="1" applyBorder="1" applyAlignment="1">
      <alignment horizontal="right"/>
    </xf>
    <xf numFmtId="170" fontId="1" fillId="0" borderId="0" xfId="0" applyNumberFormat="1" applyFont="1" applyAlignment="1">
      <alignment horizontal="center"/>
    </xf>
    <xf numFmtId="170" fontId="1" fillId="0" borderId="0" xfId="0" applyNumberFormat="1" applyFont="1" applyBorder="1" applyAlignment="1">
      <alignment horizontal="center" vertical="center"/>
    </xf>
    <xf numFmtId="170" fontId="3" fillId="24" borderId="0" xfId="0" applyNumberFormat="1" applyFont="1" applyFill="1" applyAlignment="1">
      <alignment horizontal="center"/>
    </xf>
    <xf numFmtId="170" fontId="4" fillId="0" borderId="0" xfId="0" applyNumberFormat="1" applyFont="1" applyFill="1" applyAlignment="1">
      <alignment horizontal="center"/>
    </xf>
    <xf numFmtId="4" fontId="40" fillId="0" borderId="0" xfId="0" applyNumberFormat="1" applyFont="1" applyFill="1" applyBorder="1" applyAlignment="1">
      <alignment horizontal="center" vertical="center" textRotation="90"/>
    </xf>
    <xf numFmtId="4" fontId="4" fillId="0" borderId="0" xfId="0" applyNumberFormat="1" applyFont="1" applyFill="1" applyAlignment="1">
      <alignment horizontal="center" wrapText="1"/>
    </xf>
    <xf numFmtId="0" fontId="1" fillId="0" borderId="0" xfId="0" applyNumberFormat="1" applyFont="1" applyFill="1" applyBorder="1" applyAlignment="1" quotePrefix="1">
      <alignment horizontal="center" vertical="center"/>
    </xf>
    <xf numFmtId="4" fontId="4" fillId="0" borderId="0" xfId="0" applyNumberFormat="1" applyFont="1" applyAlignment="1">
      <alignment horizontal="left"/>
    </xf>
    <xf numFmtId="4" fontId="3" fillId="0" borderId="0" xfId="0" applyNumberFormat="1" applyFont="1" applyAlignment="1">
      <alignment horizontal="left"/>
    </xf>
    <xf numFmtId="4" fontId="3" fillId="24" borderId="0" xfId="0" applyNumberFormat="1" applyFont="1" applyFill="1" applyAlignment="1">
      <alignment horizontal="right"/>
    </xf>
    <xf numFmtId="0" fontId="4" fillId="0" borderId="0" xfId="0" applyNumberFormat="1" applyFont="1" applyAlignment="1">
      <alignment horizontal="center" vertical="center"/>
    </xf>
    <xf numFmtId="4" fontId="4" fillId="0" borderId="0" xfId="0" applyNumberFormat="1" applyFont="1" applyFill="1" applyAlignment="1">
      <alignment horizontal="center" vertical="center"/>
    </xf>
    <xf numFmtId="4" fontId="4" fillId="0" borderId="0" xfId="0" applyNumberFormat="1" applyFont="1" applyAlignment="1">
      <alignment horizontal="center" vertical="center"/>
    </xf>
    <xf numFmtId="14" fontId="41" fillId="0" borderId="0" xfId="36" applyNumberFormat="1" applyFont="1" applyAlignment="1" applyProtection="1">
      <alignment horizontal="center" vertical="center"/>
      <protection/>
    </xf>
    <xf numFmtId="4" fontId="3" fillId="0" borderId="0" xfId="0" applyNumberFormat="1" applyFont="1" applyAlignment="1">
      <alignment horizontal="center" vertical="center"/>
    </xf>
    <xf numFmtId="1" fontId="1" fillId="0" borderId="0" xfId="0" applyNumberFormat="1" applyFont="1" applyAlignment="1" quotePrefix="1">
      <alignment horizontal="center" vertical="center"/>
    </xf>
    <xf numFmtId="4" fontId="4" fillId="0" borderId="0" xfId="0" applyNumberFormat="1" applyFont="1" applyBorder="1" applyAlignment="1">
      <alignment horizontal="center" vertical="center"/>
    </xf>
    <xf numFmtId="14" fontId="41" fillId="0" borderId="0" xfId="36" applyNumberFormat="1" applyFont="1" applyFill="1" applyAlignment="1" applyProtection="1">
      <alignment horizontal="center" vertical="center"/>
      <protection/>
    </xf>
    <xf numFmtId="14" fontId="41" fillId="0" borderId="0" xfId="36" applyNumberFormat="1" applyFont="1" applyFill="1" applyBorder="1" applyAlignment="1" applyProtection="1">
      <alignment horizontal="center" vertical="center"/>
      <protection/>
    </xf>
    <xf numFmtId="4" fontId="4" fillId="0" borderId="0" xfId="0" applyNumberFormat="1" applyFont="1" applyAlignment="1">
      <alignment horizontal="left" vertical="center"/>
    </xf>
    <xf numFmtId="14" fontId="4" fillId="0" borderId="0" xfId="0" applyNumberFormat="1" applyFont="1" applyAlignment="1" quotePrefix="1">
      <alignment horizontal="center" vertical="center"/>
    </xf>
    <xf numFmtId="0" fontId="4" fillId="0" borderId="0" xfId="0" applyFont="1" applyAlignment="1" quotePrefix="1">
      <alignment horizontal="center" vertical="center"/>
    </xf>
    <xf numFmtId="0" fontId="4" fillId="0" borderId="0" xfId="0" applyFont="1" applyAlignment="1">
      <alignment horizontal="left" vertical="center"/>
    </xf>
    <xf numFmtId="0" fontId="46" fillId="0" borderId="0" xfId="36" applyFont="1" applyAlignment="1" applyProtection="1">
      <alignment horizontal="left" vertical="center"/>
      <protection/>
    </xf>
    <xf numFmtId="14" fontId="4" fillId="0" borderId="0" xfId="0" applyNumberFormat="1" applyFont="1" applyAlignment="1">
      <alignment vertical="center"/>
    </xf>
    <xf numFmtId="4" fontId="4" fillId="0" borderId="0" xfId="0" applyNumberFormat="1" applyFont="1" applyAlignment="1" quotePrefix="1">
      <alignment horizontal="right" vertical="center"/>
    </xf>
    <xf numFmtId="4" fontId="5" fillId="0" borderId="0" xfId="0" applyNumberFormat="1" applyFont="1" applyAlignment="1">
      <alignment horizontal="left" vertical="center"/>
    </xf>
    <xf numFmtId="170" fontId="4" fillId="0" borderId="0" xfId="0" applyNumberFormat="1" applyFont="1" applyBorder="1" applyAlignment="1">
      <alignment horizontal="center" vertical="center"/>
    </xf>
    <xf numFmtId="0" fontId="0" fillId="0" borderId="0" xfId="0" applyAlignment="1">
      <alignment horizontal="center"/>
    </xf>
    <xf numFmtId="4" fontId="47" fillId="0" borderId="0" xfId="0" applyNumberFormat="1" applyFont="1" applyAlignment="1">
      <alignment/>
    </xf>
    <xf numFmtId="0" fontId="1" fillId="0" borderId="0" xfId="0" applyNumberFormat="1" applyFont="1" applyAlignment="1" quotePrefix="1">
      <alignment horizontal="left" vertical="center"/>
    </xf>
    <xf numFmtId="171" fontId="1" fillId="0" borderId="0" xfId="0" applyNumberFormat="1" applyFont="1" applyFill="1" applyAlignment="1">
      <alignment vertical="top" wrapText="1"/>
    </xf>
    <xf numFmtId="4" fontId="1" fillId="0" borderId="0" xfId="0" applyNumberFormat="1" applyFont="1" applyAlignment="1">
      <alignment wrapText="1"/>
    </xf>
    <xf numFmtId="4" fontId="1" fillId="0" borderId="0" xfId="0" applyNumberFormat="1" applyFont="1" applyAlignment="1">
      <alignment horizontal="center" wrapText="1"/>
    </xf>
    <xf numFmtId="4" fontId="3" fillId="0" borderId="0" xfId="0" applyNumberFormat="1" applyFont="1" applyAlignment="1">
      <alignment wrapText="1"/>
    </xf>
    <xf numFmtId="4" fontId="3" fillId="0" borderId="0" xfId="0" applyNumberFormat="1" applyFont="1" applyAlignment="1">
      <alignment horizontal="center" wrapText="1"/>
    </xf>
    <xf numFmtId="4" fontId="1" fillId="0" borderId="15" xfId="0" applyNumberFormat="1" applyFont="1" applyBorder="1" applyAlignment="1">
      <alignment wrapText="1"/>
    </xf>
    <xf numFmtId="170" fontId="1" fillId="0" borderId="0" xfId="0" applyNumberFormat="1" applyFont="1" applyFill="1" applyBorder="1" applyAlignment="1">
      <alignment horizontal="center" vertical="center"/>
    </xf>
    <xf numFmtId="1" fontId="1" fillId="0" borderId="0" xfId="0" applyNumberFormat="1" applyFont="1" applyFill="1" applyBorder="1" applyAlignment="1" quotePrefix="1">
      <alignment horizontal="center" vertical="center"/>
    </xf>
    <xf numFmtId="0" fontId="21" fillId="0" borderId="0" xfId="0" applyFont="1" applyFill="1" applyAlignment="1">
      <alignment horizontal="left" vertical="center"/>
    </xf>
    <xf numFmtId="0" fontId="1" fillId="0" borderId="0" xfId="0" applyFont="1" applyFill="1" applyBorder="1" applyAlignment="1" quotePrefix="1">
      <alignment horizontal="center" vertical="center"/>
    </xf>
    <xf numFmtId="0" fontId="41" fillId="0" borderId="0" xfId="36" applyFont="1" applyFill="1" applyBorder="1" applyAlignment="1" applyProtection="1">
      <alignment horizontal="left" vertical="center"/>
      <protection/>
    </xf>
    <xf numFmtId="0" fontId="1"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1" fontId="1" fillId="0" borderId="0" xfId="0" applyNumberFormat="1" applyFont="1" applyFill="1" applyAlignment="1" quotePrefix="1">
      <alignment horizontal="center" vertical="center"/>
    </xf>
    <xf numFmtId="0" fontId="1" fillId="0" borderId="0" xfId="0" applyNumberFormat="1" applyFont="1" applyFill="1" applyAlignment="1" quotePrefix="1">
      <alignment horizontal="left" vertical="center"/>
    </xf>
    <xf numFmtId="4" fontId="1" fillId="0" borderId="0" xfId="0" applyNumberFormat="1" applyFont="1" applyBorder="1" applyAlignment="1">
      <alignment vertical="center"/>
    </xf>
    <xf numFmtId="4" fontId="10" fillId="0" borderId="0" xfId="0" applyNumberFormat="1" applyFont="1" applyAlignment="1">
      <alignment horizontal="center" vertical="center"/>
    </xf>
    <xf numFmtId="0" fontId="48" fillId="0" borderId="0" xfId="0" applyFont="1" applyAlignment="1">
      <alignment/>
    </xf>
    <xf numFmtId="0" fontId="49" fillId="0" borderId="0" xfId="0" applyFont="1" applyAlignment="1">
      <alignment readingOrder="1"/>
    </xf>
    <xf numFmtId="0" fontId="48" fillId="0" borderId="0" xfId="0" applyFont="1" applyAlignment="1">
      <alignment horizontal="center" vertical="center"/>
    </xf>
    <xf numFmtId="1" fontId="48" fillId="0" borderId="0" xfId="0" applyNumberFormat="1" applyFont="1" applyAlignment="1">
      <alignment horizontal="center" vertical="center"/>
    </xf>
    <xf numFmtId="1" fontId="48" fillId="0" borderId="0" xfId="0" applyNumberFormat="1" applyFont="1" applyAlignment="1">
      <alignment horizontal="center"/>
    </xf>
    <xf numFmtId="10" fontId="48" fillId="0" borderId="0" xfId="0" applyNumberFormat="1" applyFont="1" applyAlignment="1">
      <alignment horizontal="center"/>
    </xf>
    <xf numFmtId="0" fontId="48" fillId="0" borderId="0" xfId="0" applyFont="1" applyAlignment="1">
      <alignment wrapText="1" readingOrder="1"/>
    </xf>
    <xf numFmtId="0" fontId="50" fillId="0" borderId="19" xfId="0" applyFont="1" applyFill="1" applyBorder="1" applyAlignment="1">
      <alignment horizontal="center" vertical="center" readingOrder="1"/>
    </xf>
    <xf numFmtId="0" fontId="7" fillId="0" borderId="20" xfId="0" applyFont="1" applyFill="1" applyBorder="1" applyAlignment="1">
      <alignment horizontal="center" vertical="center" wrapText="1" readingOrder="1"/>
    </xf>
    <xf numFmtId="0" fontId="7" fillId="0" borderId="20" xfId="0" applyFont="1" applyBorder="1" applyAlignment="1">
      <alignment horizontal="center" vertical="center" wrapText="1"/>
    </xf>
    <xf numFmtId="1" fontId="7" fillId="0" borderId="20"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0" fontId="7" fillId="0" borderId="20" xfId="0" applyNumberFormat="1" applyFont="1" applyBorder="1" applyAlignment="1">
      <alignment horizontal="center" vertical="center" wrapText="1"/>
    </xf>
    <xf numFmtId="0" fontId="51" fillId="0" borderId="20" xfId="0" applyFont="1" applyFill="1" applyBorder="1" applyAlignment="1">
      <alignment horizontal="center" vertical="center"/>
    </xf>
    <xf numFmtId="0" fontId="48" fillId="0" borderId="20" xfId="0" applyFont="1" applyFill="1" applyBorder="1" applyAlignment="1">
      <alignment vertical="center" wrapText="1" readingOrder="1"/>
    </xf>
    <xf numFmtId="0" fontId="48" fillId="0" borderId="20" xfId="0" applyFont="1" applyFill="1" applyBorder="1" applyAlignment="1">
      <alignment vertical="center" wrapText="1"/>
    </xf>
    <xf numFmtId="4" fontId="48" fillId="0" borderId="20" xfId="0" applyNumberFormat="1" applyFont="1" applyFill="1" applyBorder="1" applyAlignment="1">
      <alignment vertical="center" wrapText="1"/>
    </xf>
    <xf numFmtId="14" fontId="48" fillId="0" borderId="20" xfId="0" applyNumberFormat="1" applyFont="1" applyFill="1" applyBorder="1" applyAlignment="1">
      <alignment horizontal="center" vertical="center"/>
    </xf>
    <xf numFmtId="14" fontId="48" fillId="0" borderId="20" xfId="0" applyNumberFormat="1" applyFont="1" applyBorder="1" applyAlignment="1">
      <alignment horizontal="center" vertical="center"/>
    </xf>
    <xf numFmtId="1" fontId="48" fillId="0" borderId="20" xfId="0" applyNumberFormat="1" applyFont="1" applyBorder="1" applyAlignment="1">
      <alignment horizontal="center" vertical="center"/>
    </xf>
    <xf numFmtId="10" fontId="48" fillId="0" borderId="20" xfId="0" applyNumberFormat="1" applyFont="1" applyBorder="1" applyAlignment="1">
      <alignment horizontal="center" vertical="center"/>
    </xf>
    <xf numFmtId="4" fontId="50" fillId="0" borderId="20" xfId="0" applyNumberFormat="1" applyFont="1" applyBorder="1" applyAlignment="1">
      <alignment horizontal="center" vertical="center"/>
    </xf>
    <xf numFmtId="10" fontId="48" fillId="0" borderId="20" xfId="0" applyNumberFormat="1" applyFont="1" applyBorder="1" applyAlignment="1">
      <alignment horizontal="left" vertical="center" wrapText="1"/>
    </xf>
    <xf numFmtId="0" fontId="48" fillId="0" borderId="20" xfId="0" applyFont="1" applyBorder="1" applyAlignment="1">
      <alignment horizontal="left" vertical="center" wrapText="1"/>
    </xf>
    <xf numFmtId="0" fontId="48" fillId="0" borderId="20" xfId="0" applyFont="1" applyBorder="1" applyAlignment="1">
      <alignment vertical="center"/>
    </xf>
    <xf numFmtId="0" fontId="48" fillId="0" borderId="20" xfId="0" applyNumberFormat="1" applyFont="1" applyBorder="1" applyAlignment="1">
      <alignment horizontal="center" vertical="center"/>
    </xf>
    <xf numFmtId="10" fontId="50" fillId="0" borderId="20" xfId="0" applyNumberFormat="1" applyFont="1" applyBorder="1" applyAlignment="1">
      <alignment horizontal="center" vertical="center"/>
    </xf>
    <xf numFmtId="0" fontId="51" fillId="0" borderId="20" xfId="0" applyFont="1" applyBorder="1" applyAlignment="1">
      <alignment horizontal="center" vertical="center"/>
    </xf>
    <xf numFmtId="0" fontId="48" fillId="0" borderId="20" xfId="0" applyFont="1" applyBorder="1" applyAlignment="1">
      <alignment vertical="center" wrapText="1" readingOrder="1"/>
    </xf>
    <xf numFmtId="10" fontId="48" fillId="0" borderId="20" xfId="0" applyNumberFormat="1" applyFont="1" applyFill="1" applyBorder="1" applyAlignment="1">
      <alignment horizontal="center" vertical="center"/>
    </xf>
    <xf numFmtId="0" fontId="48" fillId="0" borderId="20" xfId="0" applyFont="1" applyBorder="1" applyAlignment="1">
      <alignment vertical="center" wrapText="1"/>
    </xf>
    <xf numFmtId="4" fontId="48" fillId="0" borderId="20" xfId="0" applyNumberFormat="1" applyFont="1" applyBorder="1" applyAlignment="1">
      <alignment vertical="center" wrapText="1"/>
    </xf>
    <xf numFmtId="0" fontId="48" fillId="0" borderId="20" xfId="0" applyFont="1" applyFill="1" applyBorder="1" applyAlignment="1" quotePrefix="1">
      <alignment vertical="center" wrapText="1"/>
    </xf>
    <xf numFmtId="4" fontId="48" fillId="0" borderId="20" xfId="0" applyNumberFormat="1" applyFont="1" applyFill="1" applyBorder="1" applyAlignment="1" quotePrefix="1">
      <alignment vertical="center" wrapText="1"/>
    </xf>
    <xf numFmtId="0" fontId="51" fillId="0" borderId="20" xfId="0" applyFont="1" applyFill="1" applyBorder="1" applyAlignment="1">
      <alignment horizontal="center" vertical="center" wrapText="1"/>
    </xf>
    <xf numFmtId="14" fontId="48" fillId="0" borderId="20" xfId="0" applyNumberFormat="1" applyFont="1" applyBorder="1" applyAlignment="1">
      <alignment horizontal="center" vertical="center" wrapText="1"/>
    </xf>
    <xf numFmtId="0" fontId="48" fillId="0" borderId="20" xfId="0" applyFont="1" applyFill="1" applyBorder="1" applyAlignment="1">
      <alignment horizontal="left" vertical="center" wrapText="1"/>
    </xf>
    <xf numFmtId="4" fontId="48" fillId="0" borderId="20" xfId="0" applyNumberFormat="1" applyFont="1" applyFill="1" applyBorder="1" applyAlignment="1">
      <alignment horizontal="left" vertical="center" wrapText="1"/>
    </xf>
    <xf numFmtId="0" fontId="51" fillId="0" borderId="0" xfId="0" applyFont="1" applyFill="1" applyBorder="1" applyAlignment="1">
      <alignment horizontal="center" vertical="center"/>
    </xf>
    <xf numFmtId="0" fontId="48" fillId="0" borderId="0" xfId="0" applyFont="1" applyFill="1" applyBorder="1" applyAlignment="1">
      <alignment vertical="center" wrapText="1" readingOrder="1"/>
    </xf>
    <xf numFmtId="0" fontId="48" fillId="0" borderId="0" xfId="0" applyFont="1" applyFill="1" applyBorder="1" applyAlignment="1">
      <alignment vertical="center" wrapText="1"/>
    </xf>
    <xf numFmtId="4" fontId="48" fillId="0" borderId="0" xfId="0" applyNumberFormat="1" applyFont="1" applyFill="1" applyBorder="1" applyAlignment="1">
      <alignment vertical="center" wrapText="1"/>
    </xf>
    <xf numFmtId="14" fontId="48" fillId="0" borderId="0" xfId="0" applyNumberFormat="1" applyFont="1" applyBorder="1" applyAlignment="1">
      <alignment horizontal="center" vertical="center"/>
    </xf>
    <xf numFmtId="1" fontId="48" fillId="0" borderId="0" xfId="0" applyNumberFormat="1" applyFont="1" applyBorder="1" applyAlignment="1">
      <alignment horizontal="center" vertical="center"/>
    </xf>
    <xf numFmtId="10" fontId="48" fillId="0" borderId="0" xfId="0" applyNumberFormat="1" applyFont="1" applyBorder="1" applyAlignment="1">
      <alignment horizontal="center" vertical="center"/>
    </xf>
    <xf numFmtId="10" fontId="48" fillId="0" borderId="0" xfId="0" applyNumberFormat="1" applyFont="1" applyFill="1" applyBorder="1" applyAlignment="1">
      <alignment horizontal="center" vertical="center"/>
    </xf>
    <xf numFmtId="4" fontId="50" fillId="0" borderId="0" xfId="0" applyNumberFormat="1" applyFont="1" applyBorder="1" applyAlignment="1">
      <alignment horizontal="center" vertical="center"/>
    </xf>
    <xf numFmtId="10" fontId="50" fillId="0" borderId="0" xfId="0" applyNumberFormat="1" applyFont="1" applyBorder="1" applyAlignment="1">
      <alignment horizontal="center" vertical="center"/>
    </xf>
    <xf numFmtId="0" fontId="48" fillId="0" borderId="0" xfId="0" applyFont="1" applyBorder="1" applyAlignment="1">
      <alignment/>
    </xf>
    <xf numFmtId="4" fontId="6" fillId="0" borderId="20" xfId="0" applyNumberFormat="1" applyFont="1" applyBorder="1" applyAlignment="1">
      <alignment horizontal="left" vertical="center" wrapText="1"/>
    </xf>
    <xf numFmtId="0" fontId="51" fillId="0" borderId="19" xfId="0" applyFont="1" applyFill="1" applyBorder="1" applyAlignment="1">
      <alignment horizontal="center" vertical="center"/>
    </xf>
    <xf numFmtId="0" fontId="48" fillId="0" borderId="19" xfId="0" applyFont="1" applyFill="1" applyBorder="1" applyAlignment="1">
      <alignment vertical="center" wrapText="1" readingOrder="1"/>
    </xf>
    <xf numFmtId="0" fontId="48" fillId="0" borderId="19" xfId="0" applyFont="1" applyFill="1" applyBorder="1" applyAlignment="1">
      <alignment vertical="center" wrapText="1"/>
    </xf>
    <xf numFmtId="4" fontId="48" fillId="0" borderId="19" xfId="0" applyNumberFormat="1" applyFont="1" applyFill="1" applyBorder="1" applyAlignment="1">
      <alignment vertical="center" wrapText="1"/>
    </xf>
    <xf numFmtId="14" fontId="48" fillId="0" borderId="19" xfId="0" applyNumberFormat="1" applyFont="1" applyBorder="1" applyAlignment="1">
      <alignment horizontal="center" vertical="center"/>
    </xf>
    <xf numFmtId="14" fontId="48" fillId="0" borderId="17" xfId="0" applyNumberFormat="1" applyFont="1" applyBorder="1" applyAlignment="1">
      <alignment horizontal="center" vertical="center"/>
    </xf>
    <xf numFmtId="1" fontId="48" fillId="0" borderId="11" xfId="0" applyNumberFormat="1" applyFont="1" applyBorder="1" applyAlignment="1">
      <alignment horizontal="center" vertical="center"/>
    </xf>
    <xf numFmtId="10" fontId="48" fillId="0" borderId="11" xfId="0" applyNumberFormat="1" applyFont="1" applyBorder="1" applyAlignment="1">
      <alignment horizontal="center" vertical="center"/>
    </xf>
    <xf numFmtId="10" fontId="48" fillId="0" borderId="11" xfId="0" applyNumberFormat="1" applyFont="1" applyFill="1" applyBorder="1" applyAlignment="1">
      <alignment horizontal="center" vertical="center"/>
    </xf>
    <xf numFmtId="4" fontId="50" fillId="0" borderId="18" xfId="0" applyNumberFormat="1" applyFont="1" applyBorder="1" applyAlignment="1">
      <alignment horizontal="center" vertical="center"/>
    </xf>
    <xf numFmtId="10" fontId="50" fillId="0" borderId="19" xfId="0" applyNumberFormat="1" applyFont="1" applyBorder="1" applyAlignment="1">
      <alignment horizontal="center" vertical="center"/>
    </xf>
    <xf numFmtId="0" fontId="48" fillId="0" borderId="20" xfId="0" applyFont="1" applyBorder="1" applyAlignment="1">
      <alignment horizontal="center" vertical="center"/>
    </xf>
    <xf numFmtId="10" fontId="48" fillId="0" borderId="20" xfId="0" applyNumberFormat="1" applyFont="1" applyBorder="1" applyAlignment="1">
      <alignment horizontal="center"/>
    </xf>
    <xf numFmtId="14" fontId="48" fillId="0" borderId="22" xfId="0" applyNumberFormat="1" applyFont="1" applyBorder="1" applyAlignment="1">
      <alignment horizontal="center" vertical="center"/>
    </xf>
    <xf numFmtId="1" fontId="48" fillId="0" borderId="23" xfId="0" applyNumberFormat="1" applyFont="1" applyBorder="1" applyAlignment="1">
      <alignment horizontal="center" vertical="center"/>
    </xf>
    <xf numFmtId="10" fontId="48" fillId="0" borderId="23" xfId="0" applyNumberFormat="1" applyFont="1" applyBorder="1" applyAlignment="1">
      <alignment horizontal="center" vertical="center"/>
    </xf>
    <xf numFmtId="10" fontId="48" fillId="0" borderId="23" xfId="0" applyNumberFormat="1" applyFont="1" applyFill="1" applyBorder="1" applyAlignment="1">
      <alignment horizontal="center" vertical="center"/>
    </xf>
    <xf numFmtId="4" fontId="50" fillId="0" borderId="21" xfId="0" applyNumberFormat="1" applyFont="1" applyBorder="1" applyAlignment="1">
      <alignment horizontal="center" vertical="center"/>
    </xf>
    <xf numFmtId="4" fontId="48" fillId="0" borderId="0" xfId="0" applyNumberFormat="1" applyFont="1" applyAlignment="1">
      <alignment/>
    </xf>
    <xf numFmtId="10" fontId="3" fillId="0" borderId="0" xfId="0" applyNumberFormat="1" applyFont="1" applyFill="1" applyAlignment="1">
      <alignment vertical="top" wrapText="1"/>
    </xf>
    <xf numFmtId="9" fontId="0" fillId="0" borderId="0" xfId="0" applyNumberFormat="1" applyFill="1" applyAlignment="1">
      <alignment vertical="top" wrapText="1"/>
    </xf>
    <xf numFmtId="4" fontId="42" fillId="0" borderId="0" xfId="0" applyNumberFormat="1" applyFont="1" applyFill="1" applyBorder="1" applyAlignment="1" quotePrefix="1">
      <alignment horizontal="center" vertical="center" textRotation="90" wrapText="1"/>
    </xf>
    <xf numFmtId="170" fontId="5" fillId="24" borderId="0" xfId="0" applyNumberFormat="1" applyFont="1" applyFill="1" applyAlignment="1">
      <alignment horizontal="center"/>
    </xf>
    <xf numFmtId="1" fontId="4" fillId="0" borderId="0" xfId="0" applyNumberFormat="1" applyFont="1" applyFill="1" applyAlignment="1">
      <alignment horizontal="right" vertical="center"/>
    </xf>
    <xf numFmtId="1" fontId="13" fillId="0" borderId="0" xfId="36" applyNumberFormat="1" applyFill="1" applyBorder="1" applyAlignment="1" applyProtection="1">
      <alignment horizontal="left" vertical="center"/>
      <protection/>
    </xf>
    <xf numFmtId="1" fontId="1" fillId="0" borderId="0" xfId="0" applyNumberFormat="1" applyFont="1" applyAlignment="1">
      <alignment vertical="center" wrapText="1"/>
    </xf>
    <xf numFmtId="1" fontId="1" fillId="0" borderId="0" xfId="0" applyNumberFormat="1" applyFont="1" applyFill="1" applyBorder="1" applyAlignment="1">
      <alignment vertical="center"/>
    </xf>
    <xf numFmtId="1" fontId="1" fillId="0" borderId="0" xfId="0" applyNumberFormat="1" applyFont="1" applyFill="1" applyAlignment="1">
      <alignment vertical="center"/>
    </xf>
    <xf numFmtId="1" fontId="1" fillId="0" borderId="0" xfId="0" applyNumberFormat="1" applyFont="1" applyAlignment="1">
      <alignment vertical="center"/>
    </xf>
    <xf numFmtId="1" fontId="3" fillId="24" borderId="0" xfId="0" applyNumberFormat="1" applyFont="1" applyFill="1" applyAlignment="1">
      <alignment vertical="center" wrapText="1"/>
    </xf>
    <xf numFmtId="1" fontId="4" fillId="0" borderId="0" xfId="0" applyNumberFormat="1"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Alignment="1">
      <alignment vertical="center"/>
    </xf>
    <xf numFmtId="14" fontId="1" fillId="0" borderId="0" xfId="0" applyNumberFormat="1" applyFont="1" applyAlignment="1">
      <alignment/>
    </xf>
    <xf numFmtId="14" fontId="1" fillId="0" borderId="0" xfId="0" applyNumberFormat="1" applyFont="1" applyAlignment="1">
      <alignment horizontal="center" vertical="center" textRotation="90" wrapText="1"/>
    </xf>
    <xf numFmtId="14" fontId="3" fillId="24" borderId="0" xfId="0" applyNumberFormat="1" applyFont="1" applyFill="1" applyAlignment="1">
      <alignment/>
    </xf>
    <xf numFmtId="14" fontId="4" fillId="0" borderId="0" xfId="0" applyNumberFormat="1" applyFont="1" applyFill="1" applyAlignment="1">
      <alignment/>
    </xf>
    <xf numFmtId="14" fontId="3" fillId="24" borderId="0" xfId="0" applyNumberFormat="1" applyFont="1" applyFill="1" applyAlignment="1">
      <alignment horizontal="center" vertical="center" wrapText="1"/>
    </xf>
    <xf numFmtId="14" fontId="4" fillId="0" borderId="0" xfId="0" applyNumberFormat="1" applyFont="1" applyFill="1" applyAlignment="1">
      <alignment horizontal="center" vertical="center" wrapText="1"/>
    </xf>
    <xf numFmtId="14" fontId="4" fillId="0" borderId="0" xfId="0" applyNumberFormat="1" applyFont="1" applyFill="1" applyAlignment="1">
      <alignment wrapText="1"/>
    </xf>
    <xf numFmtId="14" fontId="3" fillId="24" borderId="0" xfId="0" applyNumberFormat="1" applyFont="1" applyFill="1" applyAlignment="1">
      <alignment horizontal="center"/>
    </xf>
    <xf numFmtId="14" fontId="4" fillId="0" borderId="0" xfId="0" applyNumberFormat="1" applyFont="1" applyFill="1" applyAlignment="1">
      <alignment horizontal="center" wrapText="1"/>
    </xf>
    <xf numFmtId="0" fontId="40" fillId="0" borderId="0" xfId="0" applyNumberFormat="1" applyFont="1" applyFill="1" applyBorder="1" applyAlignment="1">
      <alignment horizontal="center" vertical="center" textRotation="90"/>
    </xf>
    <xf numFmtId="0" fontId="1" fillId="0" borderId="0" xfId="0" applyNumberFormat="1" applyFont="1" applyFill="1" applyAlignment="1">
      <alignment horizontal="left" vertical="center"/>
    </xf>
    <xf numFmtId="0" fontId="1" fillId="0" borderId="0" xfId="0" applyNumberFormat="1" applyFont="1" applyAlignment="1">
      <alignment horizontal="left" vertical="center"/>
    </xf>
    <xf numFmtId="0" fontId="3" fillId="24" borderId="0" xfId="0" applyNumberFormat="1" applyFont="1" applyFill="1" applyAlignment="1">
      <alignment horizontal="left"/>
    </xf>
    <xf numFmtId="0" fontId="1" fillId="0" borderId="0" xfId="0" applyNumberFormat="1" applyFont="1" applyAlignment="1">
      <alignment horizontal="left"/>
    </xf>
    <xf numFmtId="0" fontId="4" fillId="0" borderId="0" xfId="0" applyNumberFormat="1" applyFont="1" applyAlignment="1">
      <alignment horizontal="left"/>
    </xf>
    <xf numFmtId="0" fontId="4" fillId="0" borderId="0" xfId="0" applyNumberFormat="1" applyFont="1" applyAlignment="1" quotePrefix="1">
      <alignment horizontal="left" vertical="center"/>
    </xf>
    <xf numFmtId="0" fontId="3" fillId="0" borderId="0" xfId="0" applyNumberFormat="1" applyFont="1" applyAlignment="1">
      <alignment horizontal="left"/>
    </xf>
    <xf numFmtId="14" fontId="4" fillId="0" borderId="0" xfId="0" applyNumberFormat="1" applyFont="1" applyFill="1" applyAlignment="1">
      <alignment horizontal="center"/>
    </xf>
    <xf numFmtId="0" fontId="4" fillId="0" borderId="0" xfId="0" applyNumberFormat="1" applyFont="1" applyFill="1" applyAlignment="1">
      <alignment horizontal="center" wrapText="1"/>
    </xf>
    <xf numFmtId="4" fontId="10" fillId="0" borderId="0" xfId="0" applyNumberFormat="1" applyFont="1" applyFill="1" applyBorder="1" applyAlignment="1">
      <alignment horizontal="center" vertical="center" textRotation="90"/>
    </xf>
    <xf numFmtId="4" fontId="10" fillId="0" borderId="0" xfId="0" applyNumberFormat="1" applyFont="1" applyFill="1" applyAlignment="1">
      <alignment horizontal="center" vertical="center"/>
    </xf>
    <xf numFmtId="4" fontId="10" fillId="0" borderId="0" xfId="0" applyNumberFormat="1" applyFont="1" applyFill="1" applyBorder="1" applyAlignment="1">
      <alignment horizontal="center" vertical="center"/>
    </xf>
    <xf numFmtId="14" fontId="11" fillId="24" borderId="0" xfId="0" applyNumberFormat="1" applyFont="1" applyFill="1" applyAlignment="1">
      <alignment horizontal="center"/>
    </xf>
    <xf numFmtId="14" fontId="10" fillId="0" borderId="0" xfId="0" applyNumberFormat="1" applyFont="1" applyAlignment="1">
      <alignment horizontal="center"/>
    </xf>
    <xf numFmtId="14" fontId="10" fillId="0" borderId="0" xfId="0" applyNumberFormat="1" applyFont="1" applyFill="1" applyAlignment="1">
      <alignment horizontal="center"/>
    </xf>
    <xf numFmtId="1" fontId="4" fillId="0" borderId="0" xfId="0" applyNumberFormat="1" applyFont="1" applyFill="1" applyAlignment="1">
      <alignment horizontal="center"/>
    </xf>
    <xf numFmtId="0" fontId="1" fillId="0" borderId="0" xfId="0" applyFont="1" applyAlignment="1" quotePrefix="1">
      <alignment horizontal="left" vertical="center"/>
    </xf>
    <xf numFmtId="0" fontId="1" fillId="0" borderId="0" xfId="0" applyFont="1" applyFill="1" applyBorder="1" applyAlignment="1" quotePrefix="1">
      <alignment horizontal="left" vertical="center"/>
    </xf>
    <xf numFmtId="0" fontId="1" fillId="19" borderId="0" xfId="0" applyFont="1" applyFill="1" applyAlignment="1">
      <alignment vertical="center"/>
    </xf>
    <xf numFmtId="0" fontId="1" fillId="0" borderId="0" xfId="0" applyNumberFormat="1" applyFont="1" applyFill="1" applyBorder="1" applyAlignment="1">
      <alignment horizontal="left" vertical="center"/>
    </xf>
    <xf numFmtId="46" fontId="1" fillId="0" borderId="0" xfId="0" applyNumberFormat="1" applyFont="1" applyAlignment="1" quotePrefix="1">
      <alignment horizontal="center" vertical="center"/>
    </xf>
    <xf numFmtId="4" fontId="25" fillId="0" borderId="0" xfId="0" applyNumberFormat="1" applyFont="1" applyBorder="1" applyAlignment="1">
      <alignment horizontal="right" vertical="top" wrapText="1"/>
    </xf>
    <xf numFmtId="0" fontId="17" fillId="0" borderId="0" xfId="0" applyNumberFormat="1" applyFont="1" applyAlignment="1" quotePrefix="1">
      <alignment horizontal="center" vertical="center"/>
    </xf>
    <xf numFmtId="4" fontId="1" fillId="0" borderId="0" xfId="0" applyNumberFormat="1" applyFont="1" applyAlignment="1" quotePrefix="1">
      <alignment horizontal="center" vertical="center"/>
    </xf>
    <xf numFmtId="4" fontId="10" fillId="0" borderId="0" xfId="0" applyNumberFormat="1" applyFont="1" applyBorder="1" applyAlignment="1">
      <alignment horizontal="center" vertical="center"/>
    </xf>
    <xf numFmtId="4" fontId="11" fillId="24" borderId="0" xfId="0" applyNumberFormat="1" applyFont="1" applyFill="1" applyAlignment="1">
      <alignment horizontal="center"/>
    </xf>
    <xf numFmtId="4" fontId="10" fillId="0" borderId="0" xfId="0" applyNumberFormat="1" applyFont="1" applyAlignment="1">
      <alignment horizontal="center"/>
    </xf>
    <xf numFmtId="4" fontId="10" fillId="0" borderId="0" xfId="0" applyNumberFormat="1" applyFont="1" applyFill="1" applyAlignment="1">
      <alignment horizontal="center" wrapText="1"/>
    </xf>
    <xf numFmtId="4" fontId="10" fillId="0" borderId="15" xfId="0" applyNumberFormat="1" applyFont="1" applyFill="1" applyBorder="1" applyAlignment="1">
      <alignment horizontal="center" vertical="center" textRotation="90"/>
    </xf>
    <xf numFmtId="4" fontId="10" fillId="0" borderId="15" xfId="0" applyNumberFormat="1" applyFont="1" applyFill="1" applyBorder="1" applyAlignment="1">
      <alignment horizontal="center" vertical="center"/>
    </xf>
    <xf numFmtId="4" fontId="10" fillId="0" borderId="15" xfId="0" applyNumberFormat="1" applyFont="1" applyBorder="1" applyAlignment="1">
      <alignment horizontal="center" vertical="center"/>
    </xf>
    <xf numFmtId="4" fontId="10" fillId="0" borderId="15" xfId="0" applyNumberFormat="1" applyFont="1" applyBorder="1" applyAlignment="1">
      <alignment horizontal="center"/>
    </xf>
    <xf numFmtId="4" fontId="10" fillId="0" borderId="15" xfId="0" applyNumberFormat="1" applyFont="1" applyFill="1" applyBorder="1" applyAlignment="1">
      <alignment horizontal="center" wrapText="1"/>
    </xf>
    <xf numFmtId="4" fontId="40" fillId="0" borderId="0" xfId="0" applyNumberFormat="1" applyFont="1" applyFill="1" applyAlignment="1">
      <alignment horizontal="center" vertical="center"/>
    </xf>
    <xf numFmtId="4" fontId="40" fillId="0" borderId="0" xfId="0" applyNumberFormat="1" applyFont="1" applyFill="1" applyBorder="1" applyAlignment="1">
      <alignment horizontal="center" vertical="center"/>
    </xf>
    <xf numFmtId="4" fontId="40" fillId="0" borderId="0" xfId="0" applyNumberFormat="1" applyFont="1" applyAlignment="1">
      <alignment horizontal="center" vertical="center"/>
    </xf>
    <xf numFmtId="4" fontId="40" fillId="0" borderId="0" xfId="0" applyNumberFormat="1" applyFont="1" applyAlignment="1">
      <alignment horizontal="right" vertical="center"/>
    </xf>
    <xf numFmtId="4" fontId="15" fillId="24" borderId="0" xfId="0" applyNumberFormat="1" applyFont="1" applyFill="1" applyAlignment="1">
      <alignment horizontal="center"/>
    </xf>
    <xf numFmtId="4" fontId="40" fillId="0" borderId="0" xfId="0" applyNumberFormat="1" applyFont="1" applyAlignment="1">
      <alignment horizontal="center"/>
    </xf>
    <xf numFmtId="4" fontId="40" fillId="0" borderId="0" xfId="0" applyNumberFormat="1" applyFont="1" applyFill="1" applyAlignment="1">
      <alignment horizontal="center" wrapText="1"/>
    </xf>
    <xf numFmtId="4" fontId="15" fillId="0" borderId="0" xfId="0" applyNumberFormat="1" applyFont="1" applyFill="1" applyAlignment="1">
      <alignment horizontal="right" vertical="center"/>
    </xf>
    <xf numFmtId="4" fontId="15" fillId="0" borderId="0" xfId="0" applyNumberFormat="1" applyFont="1" applyAlignment="1">
      <alignment horizontal="right" vertical="center"/>
    </xf>
    <xf numFmtId="4" fontId="15" fillId="24" borderId="0" xfId="0" applyNumberFormat="1" applyFont="1" applyFill="1" applyAlignment="1">
      <alignment horizontal="right"/>
    </xf>
    <xf numFmtId="4" fontId="15" fillId="0" borderId="0" xfId="0" applyNumberFormat="1" applyFont="1" applyAlignment="1">
      <alignment horizontal="center"/>
    </xf>
    <xf numFmtId="4" fontId="15" fillId="0" borderId="0" xfId="0" applyNumberFormat="1" applyFont="1" applyAlignment="1">
      <alignment horizontal="center" wrapText="1"/>
    </xf>
    <xf numFmtId="4" fontId="15" fillId="0" borderId="0" xfId="0" applyNumberFormat="1" applyFont="1" applyAlignment="1" quotePrefix="1">
      <alignment horizontal="right" vertical="center"/>
    </xf>
    <xf numFmtId="4" fontId="53" fillId="0" borderId="0" xfId="0" applyNumberFormat="1" applyFont="1" applyAlignment="1">
      <alignment/>
    </xf>
    <xf numFmtId="4" fontId="15" fillId="0" borderId="0" xfId="0" applyNumberFormat="1" applyFont="1" applyFill="1" applyAlignment="1">
      <alignment horizontal="center" wrapText="1"/>
    </xf>
    <xf numFmtId="4" fontId="31" fillId="24" borderId="0" xfId="0" applyNumberFormat="1" applyFont="1" applyFill="1" applyAlignment="1">
      <alignment horizontal="center"/>
    </xf>
    <xf numFmtId="4" fontId="54" fillId="0" borderId="0" xfId="0" applyNumberFormat="1" applyFont="1" applyAlignment="1">
      <alignment/>
    </xf>
    <xf numFmtId="4" fontId="31" fillId="0" borderId="0" xfId="0" applyNumberFormat="1" applyFont="1" applyFill="1" applyBorder="1" applyAlignment="1">
      <alignment horizontal="center" vertical="center" textRotation="90" wrapText="1"/>
    </xf>
    <xf numFmtId="4" fontId="31" fillId="0" borderId="0" xfId="0" applyNumberFormat="1" applyFont="1" applyFill="1" applyAlignment="1">
      <alignment horizontal="right" vertical="center"/>
    </xf>
    <xf numFmtId="4" fontId="31" fillId="0" borderId="0" xfId="0" applyNumberFormat="1" applyFont="1" applyAlignment="1">
      <alignment horizontal="center"/>
    </xf>
    <xf numFmtId="4" fontId="31" fillId="0" borderId="0" xfId="0" applyNumberFormat="1" applyFont="1" applyFill="1" applyAlignment="1">
      <alignment horizontal="center" wrapText="1"/>
    </xf>
    <xf numFmtId="4" fontId="31" fillId="0" borderId="0" xfId="0" applyNumberFormat="1" applyFont="1" applyAlignment="1">
      <alignment horizontal="right" vertical="center"/>
    </xf>
    <xf numFmtId="4" fontId="5" fillId="0" borderId="0" xfId="0" applyNumberFormat="1" applyFont="1" applyFill="1" applyBorder="1" applyAlignment="1">
      <alignment horizontal="left" vertical="center"/>
    </xf>
    <xf numFmtId="181" fontId="1" fillId="0" borderId="0" xfId="0" applyNumberFormat="1" applyFont="1" applyAlignment="1">
      <alignment horizontal="center" vertical="center"/>
    </xf>
    <xf numFmtId="4" fontId="40" fillId="0" borderId="0" xfId="0" applyNumberFormat="1" applyFont="1" applyFill="1" applyAlignment="1">
      <alignment horizontal="right" vertical="center"/>
    </xf>
    <xf numFmtId="10" fontId="40" fillId="0" borderId="0" xfId="0" applyNumberFormat="1" applyFont="1" applyFill="1" applyBorder="1" applyAlignment="1">
      <alignment horizontal="center" vertical="center"/>
    </xf>
    <xf numFmtId="10" fontId="15" fillId="0" borderId="0" xfId="0" applyNumberFormat="1" applyFont="1" applyFill="1" applyAlignment="1">
      <alignment horizontal="center" vertical="center"/>
    </xf>
    <xf numFmtId="4" fontId="15" fillId="0" borderId="0" xfId="0" applyNumberFormat="1" applyFont="1" applyFill="1" applyBorder="1" applyAlignment="1">
      <alignment horizontal="right" vertical="center"/>
    </xf>
    <xf numFmtId="4" fontId="15" fillId="16" borderId="0" xfId="0" applyNumberFormat="1" applyFont="1" applyFill="1" applyBorder="1" applyAlignment="1">
      <alignment horizontal="center" vertical="center" textRotation="90" wrapText="1"/>
    </xf>
    <xf numFmtId="4" fontId="15" fillId="16" borderId="0" xfId="0" applyNumberFormat="1" applyFont="1" applyFill="1" applyAlignment="1">
      <alignment horizontal="right" vertical="center"/>
    </xf>
    <xf numFmtId="4" fontId="15" fillId="16" borderId="0" xfId="0" applyNumberFormat="1" applyFont="1" applyFill="1" applyAlignment="1">
      <alignment horizontal="center"/>
    </xf>
    <xf numFmtId="4" fontId="53" fillId="16" borderId="0" xfId="0" applyNumberFormat="1" applyFont="1" applyFill="1" applyAlignment="1">
      <alignment/>
    </xf>
    <xf numFmtId="4" fontId="15" fillId="16" borderId="0" xfId="0" applyNumberFormat="1" applyFont="1" applyFill="1" applyAlignment="1">
      <alignment horizontal="center" wrapText="1"/>
    </xf>
    <xf numFmtId="10" fontId="40" fillId="24" borderId="0" xfId="0" applyNumberFormat="1" applyFont="1" applyFill="1" applyBorder="1" applyAlignment="1">
      <alignment horizontal="center" vertical="center"/>
    </xf>
    <xf numFmtId="10" fontId="15" fillId="24" borderId="0" xfId="0" applyNumberFormat="1" applyFont="1" applyFill="1" applyAlignment="1">
      <alignment horizontal="center" vertical="center"/>
    </xf>
    <xf numFmtId="3" fontId="1" fillId="0" borderId="0" xfId="0" applyNumberFormat="1" applyFont="1" applyFill="1" applyAlignment="1">
      <alignment horizontal="center" vertical="center"/>
    </xf>
    <xf numFmtId="0" fontId="20" fillId="0" borderId="20" xfId="49" applyFont="1" applyFill="1" applyBorder="1" applyAlignment="1">
      <alignment horizontal="center" vertical="center" textRotation="90" wrapText="1"/>
      <protection/>
    </xf>
    <xf numFmtId="0" fontId="20" fillId="0" borderId="21" xfId="49" applyNumberFormat="1" applyFont="1" applyFill="1" applyBorder="1" applyAlignment="1">
      <alignment horizontal="center" vertical="center" textRotation="90" wrapText="1"/>
      <protection/>
    </xf>
    <xf numFmtId="0" fontId="20" fillId="0" borderId="20" xfId="49" applyNumberFormat="1" applyFont="1" applyFill="1" applyBorder="1" applyAlignment="1">
      <alignment horizontal="center" vertical="center" textRotation="90" wrapText="1"/>
      <protection/>
    </xf>
    <xf numFmtId="4" fontId="72" fillId="0" borderId="20" xfId="49" applyNumberFormat="1" applyFont="1" applyFill="1" applyBorder="1" applyAlignment="1">
      <alignment horizontal="center" vertical="center" textRotation="90" wrapText="1"/>
      <protection/>
    </xf>
    <xf numFmtId="0" fontId="73" fillId="0" borderId="20" xfId="49" applyNumberFormat="1" applyFont="1" applyFill="1" applyBorder="1" applyAlignment="1">
      <alignment horizontal="center" vertical="center" textRotation="90" wrapText="1"/>
      <protection/>
    </xf>
    <xf numFmtId="1" fontId="20" fillId="0" borderId="20" xfId="49" applyNumberFormat="1" applyFont="1" applyFill="1" applyBorder="1" applyAlignment="1">
      <alignment horizontal="center" vertical="center" textRotation="90" wrapText="1"/>
      <protection/>
    </xf>
    <xf numFmtId="4" fontId="20" fillId="0" borderId="20" xfId="49" applyNumberFormat="1" applyFont="1" applyFill="1" applyBorder="1" applyAlignment="1">
      <alignment horizontal="center" vertical="center" textRotation="90" wrapText="1"/>
      <protection/>
    </xf>
    <xf numFmtId="0" fontId="20" fillId="0" borderId="20" xfId="49" applyFont="1" applyBorder="1" applyAlignment="1">
      <alignment horizontal="center" vertical="center" textRotation="90" wrapText="1"/>
      <protection/>
    </xf>
    <xf numFmtId="4" fontId="20" fillId="0" borderId="20" xfId="49" applyNumberFormat="1" applyFont="1" applyBorder="1" applyAlignment="1">
      <alignment horizontal="center" vertical="center" textRotation="90" wrapText="1"/>
      <protection/>
    </xf>
    <xf numFmtId="0" fontId="74" fillId="0" borderId="0" xfId="49" applyNumberFormat="1" applyFont="1" applyAlignment="1">
      <alignment wrapText="1"/>
      <protection/>
    </xf>
    <xf numFmtId="0" fontId="12" fillId="0" borderId="20" xfId="49" applyFont="1" applyFill="1" applyBorder="1" applyAlignment="1">
      <alignment horizontal="center" vertical="center"/>
      <protection/>
    </xf>
    <xf numFmtId="0" fontId="20" fillId="0" borderId="21" xfId="49" applyNumberFormat="1" applyFont="1" applyFill="1" applyBorder="1" applyAlignment="1">
      <alignment vertical="center" wrapText="1"/>
      <protection/>
    </xf>
    <xf numFmtId="0" fontId="20" fillId="0" borderId="20" xfId="49" applyNumberFormat="1" applyFont="1" applyFill="1" applyBorder="1" applyAlignment="1">
      <alignment vertical="center" wrapText="1"/>
      <protection/>
    </xf>
    <xf numFmtId="4" fontId="72" fillId="0" borderId="20" xfId="49" applyNumberFormat="1" applyFont="1" applyFill="1" applyBorder="1" applyAlignment="1">
      <alignment horizontal="right" vertical="center"/>
      <protection/>
    </xf>
    <xf numFmtId="4" fontId="73" fillId="0" borderId="20" xfId="49" applyNumberFormat="1" applyFont="1" applyFill="1" applyBorder="1" applyAlignment="1">
      <alignment horizontal="right" vertical="center" wrapText="1"/>
      <protection/>
    </xf>
    <xf numFmtId="10" fontId="72" fillId="0" borderId="20" xfId="49" applyNumberFormat="1" applyFont="1" applyFill="1" applyBorder="1" applyAlignment="1">
      <alignment horizontal="center" vertical="center" wrapText="1"/>
      <protection/>
    </xf>
    <xf numFmtId="4" fontId="72" fillId="0" borderId="20" xfId="49" applyNumberFormat="1" applyFont="1" applyFill="1" applyBorder="1" applyAlignment="1">
      <alignment horizontal="center" vertical="center" wrapText="1"/>
      <protection/>
    </xf>
    <xf numFmtId="4" fontId="72" fillId="0" borderId="20" xfId="49" applyNumberFormat="1" applyFont="1" applyFill="1" applyBorder="1" applyAlignment="1">
      <alignment horizontal="right" vertical="center" wrapText="1"/>
      <protection/>
    </xf>
    <xf numFmtId="0" fontId="20" fillId="0" borderId="20" xfId="49" applyFont="1" applyFill="1" applyBorder="1" applyAlignment="1">
      <alignment vertical="center" wrapText="1"/>
      <protection/>
    </xf>
    <xf numFmtId="1" fontId="20" fillId="0" borderId="20" xfId="49" applyNumberFormat="1" applyFont="1" applyFill="1" applyBorder="1" applyAlignment="1">
      <alignment vertical="center" wrapText="1"/>
      <protection/>
    </xf>
    <xf numFmtId="4" fontId="20" fillId="0" borderId="20" xfId="49" applyNumberFormat="1" applyFont="1" applyFill="1" applyBorder="1" applyAlignment="1">
      <alignment horizontal="left" vertical="center" wrapText="1"/>
      <protection/>
    </xf>
    <xf numFmtId="0" fontId="20" fillId="0" borderId="20" xfId="49" applyFont="1" applyFill="1" applyBorder="1" applyAlignment="1">
      <alignment horizontal="center" vertical="center"/>
      <protection/>
    </xf>
    <xf numFmtId="10" fontId="73" fillId="0" borderId="20" xfId="49" applyNumberFormat="1" applyFont="1" applyFill="1" applyBorder="1" applyAlignment="1">
      <alignment horizontal="center" vertical="center" wrapText="1"/>
      <protection/>
    </xf>
    <xf numFmtId="4" fontId="20" fillId="0" borderId="20" xfId="49" applyNumberFormat="1" applyFont="1" applyFill="1" applyBorder="1" applyAlignment="1" quotePrefix="1">
      <alignment horizontal="center" vertical="center"/>
      <protection/>
    </xf>
    <xf numFmtId="10" fontId="75" fillId="0" borderId="20" xfId="49" applyNumberFormat="1" applyFont="1" applyFill="1" applyBorder="1" applyAlignment="1">
      <alignment horizontal="center" vertical="center" wrapText="1"/>
      <protection/>
    </xf>
    <xf numFmtId="0" fontId="20" fillId="0" borderId="20" xfId="49" applyFont="1" applyFill="1" applyBorder="1" applyAlignment="1" quotePrefix="1">
      <alignment horizontal="center" vertical="center"/>
      <protection/>
    </xf>
    <xf numFmtId="10" fontId="19" fillId="0" borderId="20" xfId="49" applyNumberFormat="1" applyFont="1" applyFill="1" applyBorder="1" applyAlignment="1">
      <alignment horizontal="center" vertical="center" wrapText="1"/>
      <protection/>
    </xf>
    <xf numFmtId="1" fontId="20" fillId="0" borderId="20" xfId="49" applyNumberFormat="1" applyFont="1" applyFill="1" applyBorder="1" applyAlignment="1" quotePrefix="1">
      <alignment vertical="center" wrapText="1"/>
      <protection/>
    </xf>
    <xf numFmtId="0" fontId="12" fillId="0" borderId="20" xfId="49" applyFont="1" applyFill="1" applyBorder="1" applyAlignment="1">
      <alignment horizontal="center" vertical="center" wrapText="1"/>
      <protection/>
    </xf>
    <xf numFmtId="0" fontId="20" fillId="0" borderId="20" xfId="49" applyFont="1" applyBorder="1" applyAlignment="1">
      <alignment horizontal="center" vertical="center"/>
      <protection/>
    </xf>
    <xf numFmtId="4" fontId="72" fillId="0" borderId="20" xfId="49" applyNumberFormat="1" applyFont="1" applyBorder="1" applyAlignment="1">
      <alignment horizontal="right" vertical="center"/>
      <protection/>
    </xf>
    <xf numFmtId="0" fontId="20" fillId="0" borderId="20" xfId="49" applyNumberFormat="1" applyFont="1" applyFill="1" applyBorder="1" applyAlignment="1" quotePrefix="1">
      <alignment vertical="center" wrapText="1"/>
      <protection/>
    </xf>
    <xf numFmtId="4" fontId="73" fillId="0" borderId="20" xfId="49" applyNumberFormat="1" applyFont="1" applyFill="1" applyBorder="1" applyAlignment="1">
      <alignment horizontal="center" vertical="center" wrapText="1"/>
      <protection/>
    </xf>
    <xf numFmtId="16" fontId="20" fillId="0" borderId="20" xfId="49" applyNumberFormat="1" applyFont="1" applyBorder="1" applyAlignment="1" quotePrefix="1">
      <alignment horizontal="center" vertical="center"/>
      <protection/>
    </xf>
    <xf numFmtId="4" fontId="73" fillId="0" borderId="20" xfId="49" applyNumberFormat="1" applyFont="1" applyFill="1" applyBorder="1" applyAlignment="1">
      <alignment horizontal="right" vertical="center"/>
      <protection/>
    </xf>
    <xf numFmtId="0" fontId="76" fillId="0" borderId="0" xfId="49" applyNumberFormat="1" applyFont="1" applyAlignment="1">
      <alignment wrapText="1"/>
      <protection/>
    </xf>
    <xf numFmtId="0" fontId="12" fillId="0" borderId="20" xfId="49" applyFont="1" applyBorder="1" applyAlignment="1">
      <alignment horizontal="center" vertical="center"/>
      <protection/>
    </xf>
    <xf numFmtId="0" fontId="20" fillId="0" borderId="21" xfId="49" applyNumberFormat="1" applyFont="1" applyBorder="1" applyAlignment="1">
      <alignment vertical="center" wrapText="1"/>
      <protection/>
    </xf>
    <xf numFmtId="4" fontId="20" fillId="0" borderId="20" xfId="49" applyNumberFormat="1" applyFont="1" applyBorder="1" applyAlignment="1">
      <alignment horizontal="left" vertical="center" wrapText="1"/>
      <protection/>
    </xf>
    <xf numFmtId="0" fontId="20" fillId="0" borderId="20" xfId="49" applyNumberFormat="1" applyFont="1" applyFill="1" applyBorder="1" applyAlignment="1">
      <alignment horizontal="left" vertical="center" wrapText="1"/>
      <protection/>
    </xf>
    <xf numFmtId="0" fontId="20" fillId="0" borderId="20" xfId="49" applyFont="1" applyFill="1" applyBorder="1" applyAlignment="1">
      <alignment horizontal="left" vertical="center" wrapText="1"/>
      <protection/>
    </xf>
    <xf numFmtId="0" fontId="20" fillId="0" borderId="20" xfId="49" applyNumberFormat="1" applyFont="1" applyBorder="1" applyAlignment="1">
      <alignment vertical="center" wrapText="1"/>
      <protection/>
    </xf>
    <xf numFmtId="0" fontId="20" fillId="0" borderId="20" xfId="49" applyFont="1" applyBorder="1" applyAlignment="1">
      <alignment vertical="center" wrapText="1"/>
      <protection/>
    </xf>
    <xf numFmtId="1" fontId="20" fillId="0" borderId="20" xfId="49" applyNumberFormat="1" applyFont="1" applyBorder="1" applyAlignment="1">
      <alignment vertical="center" wrapText="1"/>
      <protection/>
    </xf>
    <xf numFmtId="0" fontId="77" fillId="0" borderId="20" xfId="49" applyNumberFormat="1" applyFont="1" applyBorder="1" applyAlignment="1">
      <alignment wrapText="1"/>
      <protection/>
    </xf>
    <xf numFmtId="0" fontId="12" fillId="24" borderId="21" xfId="49" applyNumberFormat="1" applyFont="1" applyFill="1" applyBorder="1" applyAlignment="1">
      <alignment horizontal="right" vertical="center" wrapText="1"/>
      <protection/>
    </xf>
    <xf numFmtId="0" fontId="12" fillId="24" borderId="20" xfId="49" applyNumberFormat="1" applyFont="1" applyFill="1" applyBorder="1" applyAlignment="1">
      <alignment vertical="center" wrapText="1"/>
      <protection/>
    </xf>
    <xf numFmtId="4" fontId="73" fillId="24" borderId="20" xfId="49" applyNumberFormat="1" applyFont="1" applyFill="1" applyBorder="1" applyAlignment="1">
      <alignment horizontal="right" vertical="center"/>
      <protection/>
    </xf>
    <xf numFmtId="4" fontId="73" fillId="24" borderId="20" xfId="49" applyNumberFormat="1" applyFont="1" applyFill="1" applyBorder="1" applyAlignment="1">
      <alignment horizontal="center" wrapText="1"/>
      <protection/>
    </xf>
    <xf numFmtId="10" fontId="72" fillId="24" borderId="20" xfId="49" applyNumberFormat="1" applyFont="1" applyFill="1" applyBorder="1" applyAlignment="1">
      <alignment horizontal="center" vertical="center" wrapText="1"/>
      <protection/>
    </xf>
    <xf numFmtId="4" fontId="72" fillId="24" borderId="20" xfId="49" applyNumberFormat="1" applyFont="1" applyFill="1" applyBorder="1" applyAlignment="1">
      <alignment horizontal="center" vertical="center" wrapText="1"/>
      <protection/>
    </xf>
    <xf numFmtId="4" fontId="73" fillId="24" borderId="20" xfId="49" applyNumberFormat="1" applyFont="1" applyFill="1" applyBorder="1" applyAlignment="1">
      <alignment horizontal="right" wrapText="1"/>
      <protection/>
    </xf>
    <xf numFmtId="10" fontId="73" fillId="24" borderId="20" xfId="49" applyNumberFormat="1" applyFont="1" applyFill="1" applyBorder="1" applyAlignment="1">
      <alignment horizontal="center" vertical="center" wrapText="1"/>
      <protection/>
    </xf>
    <xf numFmtId="0" fontId="74" fillId="0" borderId="20" xfId="49" applyNumberFormat="1" applyFont="1" applyBorder="1" applyAlignment="1">
      <alignment wrapText="1"/>
      <protection/>
    </xf>
    <xf numFmtId="0" fontId="77" fillId="0" borderId="20" xfId="49" applyFont="1" applyBorder="1">
      <alignment/>
      <protection/>
    </xf>
    <xf numFmtId="0" fontId="74" fillId="0" borderId="0" xfId="49" applyFont="1">
      <alignment/>
      <protection/>
    </xf>
    <xf numFmtId="0" fontId="74" fillId="0" borderId="0" xfId="49" applyFont="1" applyAlignment="1">
      <alignment wrapText="1"/>
      <protection/>
    </xf>
    <xf numFmtId="181" fontId="1" fillId="0" borderId="0" xfId="0" applyNumberFormat="1" applyFont="1" applyFill="1" applyAlignment="1">
      <alignment horizontal="center" vertical="center"/>
    </xf>
    <xf numFmtId="1" fontId="1" fillId="0" borderId="0" xfId="0" applyNumberFormat="1" applyFont="1" applyFill="1" applyAlignment="1">
      <alignment horizontal="center" vertical="center"/>
    </xf>
    <xf numFmtId="14" fontId="1" fillId="0" borderId="0" xfId="0" applyNumberFormat="1" applyFont="1" applyFill="1" applyAlignment="1" quotePrefix="1">
      <alignment horizontal="center" vertical="center"/>
    </xf>
    <xf numFmtId="4" fontId="8" fillId="0" borderId="0" xfId="0" applyNumberFormat="1" applyFont="1" applyAlignment="1">
      <alignment horizontal="right" vertical="center"/>
    </xf>
    <xf numFmtId="4" fontId="40" fillId="0" borderId="0" xfId="0" applyNumberFormat="1" applyFont="1" applyFill="1" applyAlignment="1" quotePrefix="1">
      <alignment horizontal="center" vertical="center"/>
    </xf>
    <xf numFmtId="14" fontId="11" fillId="0" borderId="0" xfId="0" applyNumberFormat="1" applyFont="1" applyAlignment="1">
      <alignment horizontal="center" vertical="center" textRotation="90" wrapText="1"/>
    </xf>
    <xf numFmtId="1" fontId="11" fillId="0" borderId="0" xfId="0" applyNumberFormat="1" applyFont="1" applyAlignment="1">
      <alignment horizontal="center" vertical="center" textRotation="90" wrapText="1"/>
    </xf>
    <xf numFmtId="170" fontId="10" fillId="0" borderId="0" xfId="0" applyNumberFormat="1" applyFont="1" applyAlignment="1">
      <alignment horizontal="center" vertical="center" textRotation="90" wrapText="1"/>
    </xf>
    <xf numFmtId="170" fontId="11" fillId="0" borderId="0" xfId="0" applyNumberFormat="1" applyFont="1" applyAlignment="1">
      <alignment horizontal="center" vertical="center" textRotation="90" wrapText="1"/>
    </xf>
    <xf numFmtId="4" fontId="78" fillId="0" borderId="0" xfId="0" applyNumberFormat="1" applyFont="1" applyFill="1" applyAlignment="1">
      <alignment horizontal="right" vertical="center"/>
    </xf>
    <xf numFmtId="4" fontId="79" fillId="0" borderId="0" xfId="0" applyNumberFormat="1" applyFont="1" applyFill="1" applyBorder="1" applyAlignment="1">
      <alignment horizontal="right" vertical="center"/>
    </xf>
    <xf numFmtId="4" fontId="1" fillId="0" borderId="0" xfId="0" applyNumberFormat="1" applyFont="1" applyFill="1" applyAlignment="1">
      <alignment vertical="center"/>
    </xf>
    <xf numFmtId="14" fontId="80" fillId="0" borderId="0" xfId="0" applyNumberFormat="1" applyFont="1" applyAlignment="1">
      <alignment horizontal="center" vertical="center"/>
    </xf>
    <xf numFmtId="1" fontId="80" fillId="0" borderId="0" xfId="0" applyNumberFormat="1" applyFont="1" applyAlignment="1">
      <alignment horizontal="center" vertical="center"/>
    </xf>
    <xf numFmtId="1" fontId="3" fillId="0" borderId="0" xfId="0" applyNumberFormat="1" applyFont="1" applyFill="1" applyBorder="1" applyAlignment="1">
      <alignment horizontal="center" vertical="center" textRotation="90" wrapText="1"/>
    </xf>
    <xf numFmtId="14" fontId="3" fillId="0" borderId="0" xfId="0" applyNumberFormat="1" applyFont="1" applyFill="1" applyBorder="1" applyAlignment="1">
      <alignment horizontal="center" vertical="center" textRotation="90"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vertical="center"/>
    </xf>
    <xf numFmtId="1" fontId="10" fillId="0" borderId="0" xfId="0" applyNumberFormat="1" applyFont="1" applyFill="1" applyBorder="1" applyAlignment="1">
      <alignment vertical="center"/>
    </xf>
    <xf numFmtId="4" fontId="10" fillId="0" borderId="0" xfId="0" applyNumberFormat="1" applyFont="1" applyFill="1" applyBorder="1" applyAlignment="1">
      <alignment horizontal="left" vertical="center"/>
    </xf>
    <xf numFmtId="4" fontId="10" fillId="0" borderId="0" xfId="0" applyNumberFormat="1" applyFont="1" applyFill="1" applyBorder="1" applyAlignment="1">
      <alignment horizontal="right" vertical="center"/>
    </xf>
    <xf numFmtId="1" fontId="10" fillId="0" borderId="0" xfId="0" applyNumberFormat="1" applyFont="1" applyFill="1" applyBorder="1" applyAlignment="1">
      <alignment horizontal="center" vertical="center"/>
    </xf>
    <xf numFmtId="14" fontId="10" fillId="0" borderId="0" xfId="0" applyNumberFormat="1" applyFont="1" applyFill="1" applyBorder="1" applyAlignment="1" quotePrefix="1">
      <alignment horizontal="center" vertical="center"/>
    </xf>
    <xf numFmtId="4" fontId="10" fillId="0" borderId="0" xfId="0" applyNumberFormat="1" applyFont="1" applyFill="1" applyBorder="1" applyAlignment="1" quotePrefix="1">
      <alignment horizontal="center" vertical="center"/>
    </xf>
    <xf numFmtId="0" fontId="10" fillId="0" borderId="0" xfId="0" applyFont="1" applyFill="1" applyAlignment="1" quotePrefix="1">
      <alignment horizontal="center" vertical="center"/>
    </xf>
    <xf numFmtId="0" fontId="10" fillId="0" borderId="0" xfId="0" applyFont="1" applyFill="1" applyAlignment="1">
      <alignment horizontal="left" vertical="center"/>
    </xf>
    <xf numFmtId="1" fontId="81" fillId="0" borderId="0" xfId="36" applyNumberFormat="1" applyFont="1" applyFill="1" applyBorder="1" applyAlignment="1" applyProtection="1">
      <alignment horizontal="left" vertical="center"/>
      <protection/>
    </xf>
    <xf numFmtId="0" fontId="81" fillId="0" borderId="0" xfId="36" applyFont="1" applyAlignment="1" applyProtection="1">
      <alignment vertical="center"/>
      <protection/>
    </xf>
    <xf numFmtId="14" fontId="10" fillId="0" borderId="0" xfId="0" applyNumberFormat="1" applyFont="1" applyFill="1" applyAlignment="1">
      <alignment vertical="center"/>
    </xf>
    <xf numFmtId="14" fontId="82" fillId="0" borderId="0" xfId="36" applyNumberFormat="1" applyFont="1" applyFill="1" applyAlignment="1" applyProtection="1">
      <alignment horizontal="center" vertical="center"/>
      <protection/>
    </xf>
    <xf numFmtId="0" fontId="10" fillId="0" borderId="0" xfId="0" applyFont="1" applyFill="1" applyAlignment="1">
      <alignment vertical="center"/>
    </xf>
    <xf numFmtId="1" fontId="10" fillId="0" borderId="0" xfId="0" applyNumberFormat="1" applyFont="1" applyFill="1" applyBorder="1" applyAlignment="1" quotePrefix="1">
      <alignment horizontal="right" vertical="center"/>
    </xf>
    <xf numFmtId="1" fontId="10" fillId="0" borderId="0" xfId="0" applyNumberFormat="1" applyFont="1" applyFill="1" applyAlignment="1">
      <alignment horizontal="center" vertical="center"/>
    </xf>
    <xf numFmtId="1" fontId="10" fillId="0" borderId="0" xfId="0" applyNumberFormat="1" applyFont="1" applyAlignment="1">
      <alignment horizontal="center" vertical="center"/>
    </xf>
    <xf numFmtId="0" fontId="10" fillId="0" borderId="0" xfId="0" applyNumberFormat="1" applyFont="1" applyAlignment="1">
      <alignment horizontal="left" vertical="center"/>
    </xf>
    <xf numFmtId="4" fontId="10" fillId="0" borderId="0" xfId="0" applyNumberFormat="1" applyFont="1" applyAlignment="1">
      <alignment horizontal="right" vertical="center"/>
    </xf>
    <xf numFmtId="4" fontId="11" fillId="0" borderId="0" xfId="0" applyNumberFormat="1" applyFont="1" applyAlignment="1">
      <alignment horizontal="right" vertical="center"/>
    </xf>
    <xf numFmtId="0" fontId="10" fillId="0" borderId="0" xfId="0" applyNumberFormat="1" applyFont="1" applyAlignment="1" quotePrefix="1">
      <alignment horizontal="center" vertical="center"/>
    </xf>
    <xf numFmtId="1" fontId="10" fillId="0" borderId="0" xfId="0" applyNumberFormat="1" applyFont="1" applyBorder="1" applyAlignment="1" quotePrefix="1">
      <alignment horizontal="center" vertical="center"/>
    </xf>
    <xf numFmtId="1" fontId="10" fillId="0" borderId="0" xfId="0" applyNumberFormat="1" applyFont="1" applyAlignment="1" quotePrefix="1">
      <alignment horizontal="center" vertical="center"/>
    </xf>
    <xf numFmtId="0" fontId="10" fillId="0" borderId="0" xfId="0" applyNumberFormat="1" applyFont="1" applyAlignment="1" quotePrefix="1">
      <alignment horizontal="left" vertical="center"/>
    </xf>
    <xf numFmtId="181" fontId="10" fillId="0" borderId="0" xfId="0" applyNumberFormat="1" applyFont="1" applyAlignment="1">
      <alignment horizontal="center" vertical="center"/>
    </xf>
    <xf numFmtId="4" fontId="10" fillId="0" borderId="0" xfId="0" applyNumberFormat="1" applyFont="1" applyAlignment="1" quotePrefix="1">
      <alignment horizontal="center" vertical="center"/>
    </xf>
    <xf numFmtId="4" fontId="10" fillId="0" borderId="0" xfId="0" applyNumberFormat="1" applyFont="1" applyFill="1" applyAlignment="1">
      <alignment horizontal="right" vertical="center"/>
    </xf>
    <xf numFmtId="4" fontId="11" fillId="0" borderId="0" xfId="0" applyNumberFormat="1" applyFont="1" applyFill="1" applyAlignment="1">
      <alignment horizontal="right" vertical="center"/>
    </xf>
    <xf numFmtId="4" fontId="11" fillId="16" borderId="0" xfId="0" applyNumberFormat="1" applyFont="1" applyFill="1" applyAlignment="1">
      <alignment horizontal="right" vertical="center"/>
    </xf>
    <xf numFmtId="170" fontId="10" fillId="0" borderId="0" xfId="0" applyNumberFormat="1" applyFont="1" applyBorder="1" applyAlignment="1">
      <alignment horizontal="center" vertical="center"/>
    </xf>
    <xf numFmtId="1" fontId="10" fillId="0" borderId="0" xfId="0" applyNumberFormat="1" applyFont="1" applyFill="1" applyAlignment="1">
      <alignment horizontal="right" vertical="center"/>
    </xf>
    <xf numFmtId="4" fontId="10" fillId="0" borderId="0" xfId="0" applyNumberFormat="1" applyFont="1" applyFill="1" applyAlignment="1">
      <alignment vertical="center"/>
    </xf>
    <xf numFmtId="14" fontId="10" fillId="0" borderId="0" xfId="0" applyNumberFormat="1" applyFont="1" applyBorder="1" applyAlignment="1" quotePrefix="1">
      <alignment horizontal="center" vertical="center"/>
    </xf>
    <xf numFmtId="4" fontId="10" fillId="0" borderId="0" xfId="0" applyNumberFormat="1" applyFont="1" applyBorder="1" applyAlignment="1" quotePrefix="1">
      <alignment horizontal="center" vertical="center"/>
    </xf>
    <xf numFmtId="0" fontId="10" fillId="0" borderId="0" xfId="0" applyFont="1" applyBorder="1" applyAlignment="1">
      <alignment horizontal="center" vertical="center"/>
    </xf>
    <xf numFmtId="0" fontId="10" fillId="0" borderId="0" xfId="0" applyFont="1" applyAlignment="1" quotePrefix="1">
      <alignment horizontal="center" vertical="center"/>
    </xf>
    <xf numFmtId="0" fontId="10" fillId="0" borderId="0" xfId="0" applyFont="1" applyAlignment="1">
      <alignment horizontal="left" vertical="center"/>
    </xf>
    <xf numFmtId="1" fontId="10" fillId="0" borderId="0" xfId="0" applyNumberFormat="1" applyFont="1" applyBorder="1" applyAlignment="1">
      <alignment horizontal="center" vertical="center"/>
    </xf>
    <xf numFmtId="1" fontId="81" fillId="0" borderId="0" xfId="36" applyNumberFormat="1" applyFont="1" applyBorder="1" applyAlignment="1" applyProtection="1">
      <alignment horizontal="left" vertical="center"/>
      <protection/>
    </xf>
    <xf numFmtId="1" fontId="82" fillId="0" borderId="0" xfId="36" applyNumberFormat="1" applyFont="1" applyBorder="1" applyAlignment="1" applyProtection="1">
      <alignment horizontal="left" vertical="center"/>
      <protection/>
    </xf>
    <xf numFmtId="14" fontId="10" fillId="0" borderId="0" xfId="0" applyNumberFormat="1" applyFont="1" applyAlignment="1">
      <alignment vertical="center"/>
    </xf>
    <xf numFmtId="14" fontId="82" fillId="0" borderId="0" xfId="36" applyNumberFormat="1" applyFont="1" applyAlignment="1" applyProtection="1">
      <alignment horizontal="center" vertical="center"/>
      <protection/>
    </xf>
    <xf numFmtId="0" fontId="10" fillId="0" borderId="0" xfId="0" applyFont="1" applyAlignment="1">
      <alignment vertical="center"/>
    </xf>
    <xf numFmtId="0" fontId="10" fillId="0" borderId="0" xfId="0" applyFont="1" applyAlignment="1" quotePrefix="1">
      <alignment horizontal="left" vertical="center"/>
    </xf>
    <xf numFmtId="0" fontId="10" fillId="0" borderId="0" xfId="0" applyFont="1" applyAlignment="1">
      <alignment horizontal="center" vertical="center"/>
    </xf>
    <xf numFmtId="14" fontId="10" fillId="0" borderId="0" xfId="0" applyNumberFormat="1" applyFont="1" applyAlignment="1" quotePrefix="1">
      <alignment horizontal="center" vertical="center"/>
    </xf>
    <xf numFmtId="0" fontId="10" fillId="0" borderId="0" xfId="0" applyNumberFormat="1" applyFont="1" applyFill="1" applyAlignment="1" quotePrefix="1">
      <alignment horizontal="center" vertical="center"/>
    </xf>
    <xf numFmtId="0" fontId="10" fillId="0" borderId="0" xfId="0" applyNumberFormat="1" applyFont="1" applyAlignment="1">
      <alignment horizontal="center" vertical="center"/>
    </xf>
    <xf numFmtId="14" fontId="11" fillId="0" borderId="0" xfId="0" applyNumberFormat="1" applyFont="1" applyFill="1" applyBorder="1" applyAlignment="1">
      <alignment horizontal="center" vertical="center"/>
    </xf>
    <xf numFmtId="0" fontId="10" fillId="0" borderId="0" xfId="0" applyFont="1" applyBorder="1" applyAlignment="1">
      <alignment vertical="center"/>
    </xf>
    <xf numFmtId="0" fontId="10" fillId="0" borderId="0" xfId="0" applyFont="1" applyBorder="1" applyAlignment="1" quotePrefix="1">
      <alignment horizontal="center" vertical="center"/>
    </xf>
    <xf numFmtId="0" fontId="10" fillId="0" borderId="0" xfId="0" applyFont="1" applyAlignment="1">
      <alignment/>
    </xf>
    <xf numFmtId="0" fontId="10" fillId="0" borderId="0" xfId="0" applyFont="1" applyAlignment="1">
      <alignment horizontal="left"/>
    </xf>
    <xf numFmtId="14" fontId="10" fillId="0" borderId="0" xfId="0" applyNumberFormat="1" applyFont="1" applyBorder="1" applyAlignment="1">
      <alignment vertical="center"/>
    </xf>
    <xf numFmtId="14" fontId="82" fillId="0" borderId="0" xfId="36" applyNumberFormat="1" applyFont="1" applyBorder="1" applyAlignment="1" applyProtection="1">
      <alignment horizontal="center" vertical="center"/>
      <protection/>
    </xf>
    <xf numFmtId="0" fontId="10" fillId="0" borderId="0" xfId="0" applyFont="1" applyBorder="1" applyAlignment="1" quotePrefix="1">
      <alignment horizontal="left" vertical="center"/>
    </xf>
    <xf numFmtId="0" fontId="10" fillId="0" borderId="0" xfId="0" applyNumberFormat="1" applyFont="1" applyBorder="1" applyAlignment="1" quotePrefix="1">
      <alignment horizontal="center" vertical="center"/>
    </xf>
    <xf numFmtId="0" fontId="79" fillId="0" borderId="0" xfId="0" applyFont="1" applyFill="1" applyAlignment="1">
      <alignment horizontal="center" vertical="center"/>
    </xf>
    <xf numFmtId="0" fontId="79"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9" fillId="0" borderId="0" xfId="0" applyFont="1" applyFill="1" applyBorder="1" applyAlignment="1">
      <alignment vertical="center"/>
    </xf>
    <xf numFmtId="0" fontId="79" fillId="0" borderId="0" xfId="0" applyFont="1" applyFill="1" applyBorder="1" applyAlignment="1">
      <alignment horizontal="left" vertical="center"/>
    </xf>
    <xf numFmtId="1" fontId="79" fillId="0" borderId="0" xfId="0" applyNumberFormat="1" applyFont="1" applyFill="1" applyBorder="1" applyAlignment="1" quotePrefix="1">
      <alignment vertical="center"/>
    </xf>
    <xf numFmtId="4" fontId="79" fillId="0" borderId="0" xfId="0" applyNumberFormat="1" applyFont="1" applyFill="1" applyBorder="1" applyAlignment="1">
      <alignment horizontal="left" vertical="center"/>
    </xf>
    <xf numFmtId="1" fontId="79" fillId="0" borderId="0" xfId="0" applyNumberFormat="1" applyFont="1" applyFill="1" applyBorder="1" applyAlignment="1">
      <alignment horizontal="center" vertical="center"/>
    </xf>
    <xf numFmtId="14" fontId="79" fillId="0" borderId="0" xfId="0" applyNumberFormat="1" applyFont="1" applyFill="1" applyBorder="1" applyAlignment="1" quotePrefix="1">
      <alignment horizontal="center" vertical="center"/>
    </xf>
    <xf numFmtId="4" fontId="79" fillId="0" borderId="0" xfId="0" applyNumberFormat="1" applyFont="1" applyFill="1" applyBorder="1" applyAlignment="1" quotePrefix="1">
      <alignment horizontal="center" vertical="center"/>
    </xf>
    <xf numFmtId="0" fontId="79" fillId="0" borderId="0" xfId="0" applyFont="1" applyFill="1" applyAlignment="1" quotePrefix="1">
      <alignment horizontal="center" vertical="center"/>
    </xf>
    <xf numFmtId="0" fontId="79" fillId="0" borderId="0" xfId="0" applyFont="1" applyFill="1" applyAlignment="1">
      <alignment horizontal="left" vertical="center"/>
    </xf>
    <xf numFmtId="14" fontId="79" fillId="0" borderId="0" xfId="0" applyNumberFormat="1" applyFont="1" applyFill="1" applyAlignment="1">
      <alignment horizontal="center" vertical="center"/>
    </xf>
    <xf numFmtId="14" fontId="79" fillId="0" borderId="0" xfId="0" applyNumberFormat="1" applyFont="1" applyFill="1" applyBorder="1" applyAlignment="1">
      <alignment horizontal="center" vertical="center"/>
    </xf>
    <xf numFmtId="1" fontId="83" fillId="0" borderId="0" xfId="36" applyNumberFormat="1" applyFont="1" applyFill="1" applyBorder="1" applyAlignment="1" applyProtection="1">
      <alignment horizontal="left" vertical="center"/>
      <protection/>
    </xf>
    <xf numFmtId="4" fontId="79" fillId="0" borderId="0" xfId="0" applyNumberFormat="1" applyFont="1" applyFill="1" applyBorder="1" applyAlignment="1">
      <alignment horizontal="center" vertical="center"/>
    </xf>
    <xf numFmtId="14" fontId="79" fillId="0" borderId="0" xfId="0" applyNumberFormat="1" applyFont="1" applyFill="1" applyAlignment="1">
      <alignment vertical="center"/>
    </xf>
    <xf numFmtId="0" fontId="79" fillId="0" borderId="0" xfId="0" applyFont="1" applyFill="1" applyAlignment="1">
      <alignment vertical="center"/>
    </xf>
    <xf numFmtId="0" fontId="79" fillId="0" borderId="0" xfId="0" applyFont="1" applyFill="1" applyAlignment="1" quotePrefix="1">
      <alignment horizontal="left" vertical="center"/>
    </xf>
    <xf numFmtId="1" fontId="79" fillId="0" borderId="0" xfId="0" applyNumberFormat="1" applyFont="1" applyFill="1" applyBorder="1" applyAlignment="1" quotePrefix="1">
      <alignment horizontal="right" vertical="center"/>
    </xf>
    <xf numFmtId="1" fontId="79" fillId="0" borderId="0" xfId="0" applyNumberFormat="1" applyFont="1" applyFill="1" applyAlignment="1">
      <alignment horizontal="center" vertical="center"/>
    </xf>
    <xf numFmtId="0" fontId="79" fillId="0" borderId="0" xfId="0" applyNumberFormat="1" applyFont="1" applyFill="1" applyAlignment="1" quotePrefix="1">
      <alignment horizontal="left" vertical="center"/>
    </xf>
    <xf numFmtId="4" fontId="79" fillId="0" borderId="0" xfId="0" applyNumberFormat="1" applyFont="1" applyFill="1" applyAlignment="1">
      <alignment horizontal="right" vertical="center"/>
    </xf>
    <xf numFmtId="4" fontId="79" fillId="0" borderId="0" xfId="0" applyNumberFormat="1" applyFont="1" applyFill="1" applyAlignment="1">
      <alignment horizontal="center" vertical="center"/>
    </xf>
    <xf numFmtId="0" fontId="79" fillId="0" borderId="0" xfId="0" applyNumberFormat="1" applyFont="1" applyFill="1" applyAlignment="1" quotePrefix="1">
      <alignment horizontal="center" vertical="center"/>
    </xf>
    <xf numFmtId="0" fontId="79" fillId="0" borderId="0" xfId="0" applyNumberFormat="1" applyFont="1" applyFill="1" applyAlignment="1">
      <alignment horizontal="center" vertical="center"/>
    </xf>
    <xf numFmtId="4" fontId="79" fillId="0" borderId="15" xfId="0" applyNumberFormat="1" applyFont="1" applyFill="1" applyBorder="1" applyAlignment="1">
      <alignment horizontal="center" vertical="center"/>
    </xf>
    <xf numFmtId="14" fontId="79" fillId="0" borderId="0" xfId="0" applyNumberFormat="1" applyFont="1" applyFill="1" applyAlignment="1">
      <alignment horizontal="left" vertical="center"/>
    </xf>
    <xf numFmtId="170" fontId="79" fillId="0" borderId="0" xfId="0" applyNumberFormat="1" applyFont="1" applyFill="1" applyBorder="1" applyAlignment="1">
      <alignment horizontal="center" vertical="center"/>
    </xf>
    <xf numFmtId="1" fontId="79" fillId="0" borderId="0" xfId="0" applyNumberFormat="1" applyFont="1" applyFill="1" applyAlignment="1">
      <alignment horizontal="right" vertical="center"/>
    </xf>
    <xf numFmtId="4" fontId="79" fillId="0" borderId="0" xfId="0" applyNumberFormat="1" applyFont="1" applyFill="1" applyAlignment="1">
      <alignment vertical="center"/>
    </xf>
    <xf numFmtId="4" fontId="31" fillId="0" borderId="0" xfId="0" applyNumberFormat="1" applyFont="1" applyFill="1" applyBorder="1" applyAlignment="1">
      <alignment horizontal="center"/>
    </xf>
    <xf numFmtId="0" fontId="0" fillId="0" borderId="0" xfId="0" applyAlignment="1">
      <alignment/>
    </xf>
    <xf numFmtId="0" fontId="0" fillId="16" borderId="0" xfId="0" applyFill="1" applyAlignment="1">
      <alignment/>
    </xf>
    <xf numFmtId="170" fontId="11" fillId="16" borderId="0" xfId="0" applyNumberFormat="1" applyFont="1" applyFill="1" applyAlignment="1">
      <alignment horizontal="center" vertical="center" textRotation="90" wrapText="1"/>
    </xf>
    <xf numFmtId="170" fontId="3" fillId="16" borderId="0" xfId="0" applyNumberFormat="1" applyFont="1" applyFill="1" applyAlignment="1">
      <alignment horizontal="center"/>
    </xf>
    <xf numFmtId="170" fontId="1" fillId="16" borderId="0" xfId="0" applyNumberFormat="1" applyFont="1" applyFill="1" applyAlignment="1">
      <alignment horizontal="center"/>
    </xf>
    <xf numFmtId="170" fontId="4" fillId="16" borderId="0" xfId="0" applyNumberFormat="1" applyFont="1" applyFill="1" applyAlignment="1">
      <alignment horizontal="center"/>
    </xf>
    <xf numFmtId="170" fontId="4" fillId="16" borderId="0" xfId="0" applyNumberFormat="1" applyFont="1" applyFill="1" applyBorder="1" applyAlignment="1">
      <alignment horizontal="center" vertical="center"/>
    </xf>
    <xf numFmtId="4" fontId="3"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quotePrefix="1">
      <alignment vertical="center"/>
    </xf>
    <xf numFmtId="14" fontId="84" fillId="0" borderId="0" xfId="36" applyNumberFormat="1" applyFont="1" applyFill="1" applyBorder="1" applyAlignment="1" applyProtection="1">
      <alignment horizontal="center" vertical="center"/>
      <protection/>
    </xf>
    <xf numFmtId="14" fontId="84" fillId="0" borderId="0" xfId="36" applyNumberFormat="1" applyFont="1" applyFill="1" applyAlignment="1" applyProtection="1">
      <alignment horizontal="center" vertical="center"/>
      <protection/>
    </xf>
    <xf numFmtId="14" fontId="84" fillId="0" borderId="0" xfId="36" applyNumberFormat="1" applyFont="1" applyAlignment="1" applyProtection="1">
      <alignment horizontal="center" vertical="center"/>
      <protection/>
    </xf>
    <xf numFmtId="14" fontId="1" fillId="0" borderId="0" xfId="0" applyNumberFormat="1" applyFont="1" applyBorder="1" applyAlignment="1">
      <alignment vertical="center"/>
    </xf>
    <xf numFmtId="14" fontId="84" fillId="0" borderId="0" xfId="36" applyNumberFormat="1" applyFont="1" applyBorder="1" applyAlignment="1" applyProtection="1">
      <alignment horizontal="center" vertical="center"/>
      <protection/>
    </xf>
    <xf numFmtId="0" fontId="1" fillId="0" borderId="0" xfId="0" applyFont="1" applyBorder="1" applyAlignment="1" quotePrefix="1">
      <alignment horizontal="left" vertical="center"/>
    </xf>
    <xf numFmtId="0" fontId="42" fillId="0" borderId="0" xfId="0" applyFont="1" applyAlignment="1">
      <alignment/>
    </xf>
    <xf numFmtId="0" fontId="42" fillId="0" borderId="0" xfId="0" applyFont="1" applyAlignment="1">
      <alignment horizontal="left"/>
    </xf>
    <xf numFmtId="4" fontId="40" fillId="0" borderId="0" xfId="0" applyNumberFormat="1" applyFont="1" applyFill="1" applyBorder="1" applyAlignment="1">
      <alignment horizontal="right" vertical="center"/>
    </xf>
    <xf numFmtId="14" fontId="10" fillId="0" borderId="0" xfId="0" applyNumberFormat="1" applyFont="1" applyFill="1" applyAlignment="1">
      <alignment horizontal="left" vertical="center"/>
    </xf>
    <xf numFmtId="4" fontId="3" fillId="0" borderId="0" xfId="0" applyNumberFormat="1" applyFont="1" applyFill="1" applyBorder="1" applyAlignment="1">
      <alignment horizontal="center" vertical="center" textRotation="90" wrapText="1"/>
    </xf>
    <xf numFmtId="4" fontId="5" fillId="0" borderId="0" xfId="0" applyNumberFormat="1" applyFont="1" applyFill="1" applyBorder="1" applyAlignment="1">
      <alignment horizontal="right" vertical="center"/>
    </xf>
    <xf numFmtId="178" fontId="1" fillId="0" borderId="0" xfId="0" applyNumberFormat="1" applyFont="1" applyFill="1" applyBorder="1" applyAlignment="1" quotePrefix="1">
      <alignment horizontal="center" vertical="center"/>
    </xf>
    <xf numFmtId="4" fontId="1" fillId="20" borderId="0" xfId="0" applyNumberFormat="1" applyFont="1" applyFill="1" applyAlignment="1">
      <alignment vertical="top" wrapText="1"/>
    </xf>
    <xf numFmtId="0" fontId="1" fillId="20" borderId="0" xfId="0" applyFont="1" applyFill="1" applyAlignment="1">
      <alignment vertical="top" wrapText="1"/>
    </xf>
    <xf numFmtId="14" fontId="3" fillId="16"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0" fontId="41" fillId="0" borderId="0" xfId="36" applyFont="1" applyAlignment="1" applyProtection="1">
      <alignment vertical="center"/>
      <protection/>
    </xf>
    <xf numFmtId="4" fontId="16" fillId="25" borderId="0" xfId="0" applyNumberFormat="1" applyFont="1" applyFill="1" applyBorder="1" applyAlignment="1" applyProtection="1">
      <alignment vertical="top" wrapText="1"/>
      <protection locked="0"/>
    </xf>
    <xf numFmtId="4" fontId="16" fillId="25" borderId="0" xfId="44" applyNumberFormat="1" applyFont="1" applyFill="1" applyBorder="1" applyAlignment="1" applyProtection="1">
      <alignment vertical="top" wrapText="1"/>
      <protection locked="0"/>
    </xf>
    <xf numFmtId="181" fontId="40" fillId="0" borderId="0" xfId="0" applyNumberFormat="1" applyFont="1" applyAlignment="1">
      <alignment horizontal="center" vertical="center"/>
    </xf>
    <xf numFmtId="0" fontId="40" fillId="0" borderId="0" xfId="0" applyNumberFormat="1" applyFont="1" applyAlignment="1">
      <alignment horizontal="center" vertical="center"/>
    </xf>
    <xf numFmtId="0" fontId="1"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1" fillId="0" borderId="20" xfId="0" applyFont="1" applyFill="1" applyBorder="1" applyAlignment="1">
      <alignment vertical="center" wrapText="1"/>
    </xf>
    <xf numFmtId="1" fontId="1" fillId="0" borderId="20" xfId="0" applyNumberFormat="1" applyFont="1" applyFill="1" applyBorder="1" applyAlignment="1">
      <alignment vertical="center"/>
    </xf>
    <xf numFmtId="4" fontId="4" fillId="0" borderId="20" xfId="0" applyNumberFormat="1" applyFont="1" applyFill="1" applyBorder="1" applyAlignment="1">
      <alignment horizontal="right" vertical="center"/>
    </xf>
    <xf numFmtId="1" fontId="4" fillId="0" borderId="20" xfId="0" applyNumberFormat="1" applyFont="1" applyFill="1" applyBorder="1" applyAlignment="1">
      <alignment horizontal="center" vertical="center"/>
    </xf>
    <xf numFmtId="170" fontId="1" fillId="0" borderId="20" xfId="0" applyNumberFormat="1" applyFont="1" applyFill="1" applyBorder="1" applyAlignment="1">
      <alignment horizontal="center" vertical="center"/>
    </xf>
    <xf numFmtId="14" fontId="1" fillId="0" borderId="20" xfId="0" applyNumberFormat="1" applyFont="1" applyFill="1" applyBorder="1" applyAlignment="1">
      <alignment horizontal="center" vertical="center"/>
    </xf>
    <xf numFmtId="0" fontId="1" fillId="0" borderId="20" xfId="0" applyFont="1" applyFill="1" applyBorder="1" applyAlignment="1">
      <alignment horizontal="left" vertical="center" wrapText="1"/>
    </xf>
    <xf numFmtId="4" fontId="1" fillId="0" borderId="20" xfId="0" applyNumberFormat="1" applyFont="1" applyFill="1" applyBorder="1" applyAlignment="1" quotePrefix="1">
      <alignment horizontal="center" vertical="center"/>
    </xf>
    <xf numFmtId="0" fontId="1" fillId="0" borderId="20" xfId="0" applyFont="1" applyFill="1" applyBorder="1" applyAlignment="1" quotePrefix="1">
      <alignment horizontal="center" vertical="center"/>
    </xf>
    <xf numFmtId="0" fontId="1" fillId="0" borderId="20" xfId="0" applyFont="1" applyFill="1" applyBorder="1" applyAlignment="1">
      <alignment horizontal="center" vertical="center" wrapText="1"/>
    </xf>
    <xf numFmtId="4" fontId="4" fillId="0" borderId="22" xfId="0" applyNumberFormat="1" applyFont="1" applyFill="1" applyBorder="1" applyAlignment="1">
      <alignment horizontal="right" vertical="center"/>
    </xf>
    <xf numFmtId="14" fontId="10" fillId="0" borderId="21"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textRotation="90" wrapText="1"/>
    </xf>
    <xf numFmtId="0" fontId="1" fillId="0" borderId="20" xfId="0" applyFont="1" applyFill="1" applyBorder="1" applyAlignment="1">
      <alignment horizontal="center" vertical="center" textRotation="90" wrapText="1"/>
    </xf>
    <xf numFmtId="0" fontId="1" fillId="0" borderId="20" xfId="0" applyFont="1" applyFill="1" applyBorder="1" applyAlignment="1">
      <alignment horizontal="center" vertical="center" textRotation="90"/>
    </xf>
    <xf numFmtId="1" fontId="1" fillId="0" borderId="20" xfId="0" applyNumberFormat="1" applyFont="1" applyFill="1" applyBorder="1" applyAlignment="1">
      <alignment horizontal="center" vertical="center" textRotation="90" wrapText="1"/>
    </xf>
    <xf numFmtId="4" fontId="1" fillId="0" borderId="20" xfId="0" applyNumberFormat="1" applyFont="1" applyFill="1" applyBorder="1" applyAlignment="1">
      <alignment horizontal="center" vertical="center" textRotation="90"/>
    </xf>
    <xf numFmtId="179" fontId="1" fillId="0" borderId="0" xfId="0" applyNumberFormat="1" applyFont="1" applyFill="1" applyAlignment="1">
      <alignment horizontal="center" vertical="center"/>
    </xf>
    <xf numFmtId="0" fontId="86" fillId="0" borderId="0" xfId="0" applyNumberFormat="1" applyFont="1" applyFill="1" applyAlignment="1">
      <alignment horizontal="center" vertical="center"/>
    </xf>
    <xf numFmtId="4" fontId="1" fillId="0" borderId="20" xfId="0" applyNumberFormat="1"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1" fillId="0" borderId="20" xfId="0" applyNumberFormat="1" applyFont="1" applyFill="1" applyBorder="1" applyAlignment="1">
      <alignment horizontal="center" vertical="center" textRotation="90" wrapText="1"/>
    </xf>
    <xf numFmtId="14" fontId="11" fillId="0" borderId="20" xfId="0" applyNumberFormat="1" applyFont="1" applyFill="1" applyBorder="1" applyAlignment="1">
      <alignment horizontal="center" vertical="center" textRotation="90" wrapText="1"/>
    </xf>
    <xf numFmtId="1" fontId="11" fillId="0" borderId="20" xfId="0" applyNumberFormat="1" applyFont="1" applyFill="1" applyBorder="1" applyAlignment="1">
      <alignment horizontal="center" vertical="center" textRotation="90" wrapText="1"/>
    </xf>
    <xf numFmtId="170" fontId="10" fillId="0" borderId="20" xfId="0" applyNumberFormat="1" applyFont="1" applyFill="1" applyBorder="1" applyAlignment="1">
      <alignment horizontal="center" vertical="center" textRotation="90" wrapText="1"/>
    </xf>
    <xf numFmtId="170" fontId="11" fillId="0" borderId="20" xfId="0" applyNumberFormat="1" applyFont="1" applyFill="1" applyBorder="1" applyAlignment="1">
      <alignment horizontal="center" vertical="center" textRotation="90" wrapText="1"/>
    </xf>
    <xf numFmtId="0" fontId="85" fillId="0" borderId="20" xfId="0" applyFont="1" applyFill="1" applyBorder="1" applyAlignment="1">
      <alignment horizontal="center" vertical="center"/>
    </xf>
    <xf numFmtId="0" fontId="85" fillId="0" borderId="20" xfId="0" applyFont="1" applyFill="1" applyBorder="1" applyAlignment="1">
      <alignment horizontal="center" vertical="center" textRotation="90"/>
    </xf>
    <xf numFmtId="0" fontId="85" fillId="0" borderId="20" xfId="0" applyFont="1" applyFill="1" applyBorder="1" applyAlignment="1">
      <alignment horizontal="center" vertical="center" textRotation="90" wrapText="1"/>
    </xf>
    <xf numFmtId="0" fontId="0" fillId="0" borderId="0" xfId="0" applyFill="1" applyAlignment="1">
      <alignment/>
    </xf>
    <xf numFmtId="14" fontId="3" fillId="0" borderId="20" xfId="0" applyNumberFormat="1"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xf>
    <xf numFmtId="14" fontId="0" fillId="0" borderId="20" xfId="0" applyNumberFormat="1" applyFill="1" applyBorder="1" applyAlignment="1">
      <alignment horizontal="center" vertical="center"/>
    </xf>
    <xf numFmtId="0" fontId="0" fillId="0" borderId="20" xfId="0" applyFill="1" applyBorder="1" applyAlignment="1">
      <alignment horizontal="left" vertical="top" wrapText="1"/>
    </xf>
    <xf numFmtId="0" fontId="0" fillId="0" borderId="20" xfId="0" applyFill="1" applyBorder="1" applyAlignment="1">
      <alignment vertical="top" wrapText="1"/>
    </xf>
    <xf numFmtId="14" fontId="0" fillId="0" borderId="20" xfId="0" applyNumberFormat="1" applyFill="1" applyBorder="1" applyAlignment="1">
      <alignment horizontal="center" vertical="center" wrapText="1"/>
    </xf>
    <xf numFmtId="14" fontId="2" fillId="0" borderId="20" xfId="0" applyNumberFormat="1" applyFont="1" applyFill="1" applyBorder="1" applyAlignment="1" quotePrefix="1">
      <alignment horizontal="center" vertical="center"/>
    </xf>
    <xf numFmtId="1" fontId="1" fillId="0" borderId="20" xfId="0" applyNumberFormat="1" applyFont="1" applyFill="1" applyBorder="1" applyAlignment="1" quotePrefix="1">
      <alignment vertical="center"/>
    </xf>
    <xf numFmtId="0" fontId="0" fillId="0" borderId="20" xfId="0" applyFill="1" applyBorder="1" applyAlignment="1">
      <alignment horizontal="center" vertical="center" wrapText="1"/>
    </xf>
    <xf numFmtId="0" fontId="3" fillId="0" borderId="20" xfId="0" applyFont="1" applyFill="1" applyBorder="1" applyAlignment="1">
      <alignment horizontal="right" vertical="center"/>
    </xf>
    <xf numFmtId="0" fontId="3" fillId="0" borderId="20" xfId="0" applyFont="1" applyFill="1" applyBorder="1" applyAlignment="1">
      <alignment horizontal="center" vertical="center"/>
    </xf>
    <xf numFmtId="0" fontId="3" fillId="0" borderId="20" xfId="0" applyFont="1" applyFill="1" applyBorder="1" applyAlignment="1">
      <alignment vertical="center"/>
    </xf>
    <xf numFmtId="1" fontId="3" fillId="0" borderId="20" xfId="0" applyNumberFormat="1" applyFont="1" applyFill="1" applyBorder="1" applyAlignment="1">
      <alignment vertical="center" wrapText="1"/>
    </xf>
    <xf numFmtId="4" fontId="3" fillId="0" borderId="20" xfId="0" applyNumberFormat="1" applyFont="1" applyFill="1" applyBorder="1" applyAlignment="1">
      <alignment horizontal="left" vertical="center"/>
    </xf>
    <xf numFmtId="0" fontId="3" fillId="0" borderId="20" xfId="0" applyFont="1" applyFill="1" applyBorder="1" applyAlignment="1">
      <alignment horizontal="center" vertical="center" wrapText="1"/>
    </xf>
    <xf numFmtId="4" fontId="5" fillId="0" borderId="22" xfId="0" applyNumberFormat="1" applyFont="1" applyFill="1" applyBorder="1" applyAlignment="1">
      <alignment horizontal="right" vertical="center"/>
    </xf>
    <xf numFmtId="4" fontId="5" fillId="0" borderId="20" xfId="0" applyNumberFormat="1" applyFont="1" applyFill="1" applyBorder="1" applyAlignment="1">
      <alignment horizontal="right" vertical="center"/>
    </xf>
    <xf numFmtId="14" fontId="11" fillId="0" borderId="21" xfId="0" applyNumberFormat="1" applyFont="1" applyFill="1" applyBorder="1" applyAlignment="1">
      <alignment horizontal="center"/>
    </xf>
    <xf numFmtId="1" fontId="3" fillId="0" borderId="20" xfId="0" applyNumberFormat="1" applyFont="1" applyFill="1" applyBorder="1" applyAlignment="1">
      <alignment horizontal="center"/>
    </xf>
    <xf numFmtId="170" fontId="3" fillId="0" borderId="20" xfId="0" applyNumberFormat="1" applyFont="1" applyFill="1" applyBorder="1" applyAlignment="1">
      <alignment horizontal="center"/>
    </xf>
    <xf numFmtId="4" fontId="5" fillId="0" borderId="0" xfId="47" applyNumberFormat="1" applyFont="1" applyFill="1" applyBorder="1" applyAlignment="1" applyProtection="1">
      <alignment horizontal="right" vertical="top" wrapText="1"/>
      <protection locked="0"/>
    </xf>
    <xf numFmtId="4" fontId="5" fillId="0" borderId="0" xfId="44" applyNumberFormat="1" applyFont="1" applyFill="1" applyBorder="1" applyAlignment="1" applyProtection="1">
      <alignment horizontal="right" vertical="top" wrapText="1"/>
      <protection locked="0"/>
    </xf>
    <xf numFmtId="4" fontId="5" fillId="0" borderId="0" xfId="0" applyNumberFormat="1" applyFont="1" applyFill="1" applyBorder="1" applyAlignment="1" applyProtection="1">
      <alignment horizontal="right" vertical="top" wrapText="1"/>
      <protection/>
    </xf>
    <xf numFmtId="4" fontId="5" fillId="0" borderId="0" xfId="0" applyNumberFormat="1" applyFont="1" applyFill="1" applyBorder="1" applyAlignment="1" applyProtection="1">
      <alignment horizontal="right" vertical="top" wrapText="1"/>
      <protection locked="0"/>
    </xf>
    <xf numFmtId="182" fontId="17" fillId="0" borderId="0" xfId="46" applyNumberFormat="1" applyFont="1" applyFill="1" applyAlignment="1">
      <alignment vertical="center"/>
    </xf>
    <xf numFmtId="181" fontId="17" fillId="0" borderId="0" xfId="0" applyNumberFormat="1" applyFont="1" applyFill="1" applyAlignment="1">
      <alignment vertical="center"/>
    </xf>
    <xf numFmtId="0" fontId="0" fillId="0" borderId="0" xfId="0" applyFill="1" applyAlignment="1">
      <alignment horizontal="right" vertical="center" wrapText="1"/>
    </xf>
    <xf numFmtId="3" fontId="40" fillId="0" borderId="0" xfId="0" applyNumberFormat="1" applyFont="1" applyAlignment="1">
      <alignment horizontal="center" vertical="center"/>
    </xf>
    <xf numFmtId="0" fontId="4" fillId="0" borderId="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textRotation="90" wrapText="1"/>
    </xf>
    <xf numFmtId="4" fontId="1" fillId="0" borderId="20" xfId="0" applyNumberFormat="1" applyFont="1" applyFill="1" applyBorder="1" applyAlignment="1">
      <alignment horizontal="right" vertical="center"/>
    </xf>
    <xf numFmtId="4" fontId="1" fillId="0" borderId="20" xfId="0" applyNumberFormat="1" applyFont="1" applyFill="1" applyBorder="1" applyAlignment="1">
      <alignment horizontal="right"/>
    </xf>
    <xf numFmtId="4" fontId="0" fillId="0" borderId="0" xfId="0" applyNumberFormat="1" applyFont="1" applyFill="1" applyAlignment="1">
      <alignment horizontal="right"/>
    </xf>
    <xf numFmtId="0" fontId="1" fillId="0" borderId="0" xfId="0" applyNumberFormat="1" applyFont="1" applyFill="1" applyBorder="1" applyAlignment="1">
      <alignment horizontal="center" vertical="center"/>
    </xf>
    <xf numFmtId="183" fontId="1" fillId="0" borderId="0" xfId="0" applyNumberFormat="1" applyFont="1" applyAlignment="1">
      <alignment horizontal="center" vertical="center"/>
    </xf>
    <xf numFmtId="181" fontId="1" fillId="0" borderId="0" xfId="0" applyNumberFormat="1" applyFont="1" applyFill="1" applyBorder="1" applyAlignment="1">
      <alignment horizontal="center" vertical="center"/>
    </xf>
    <xf numFmtId="43" fontId="1" fillId="0" borderId="0" xfId="46" applyFont="1" applyAlignment="1">
      <alignment/>
    </xf>
    <xf numFmtId="0" fontId="3" fillId="0" borderId="0" xfId="0" applyFont="1" applyFill="1" applyAlignment="1">
      <alignment horizontal="center" vertical="center"/>
    </xf>
    <xf numFmtId="4" fontId="3" fillId="0" borderId="0" xfId="0" applyNumberFormat="1" applyFont="1" applyFill="1" applyAlignment="1">
      <alignment horizontal="right" vertical="center"/>
    </xf>
    <xf numFmtId="4" fontId="1" fillId="0" borderId="0" xfId="0" applyNumberFormat="1" applyFont="1" applyFill="1" applyBorder="1" applyAlignment="1">
      <alignment horizontal="right"/>
    </xf>
    <xf numFmtId="4" fontId="1" fillId="0" borderId="0" xfId="0" applyNumberFormat="1" applyFont="1" applyFill="1" applyAlignment="1">
      <alignment horizontal="right"/>
    </xf>
    <xf numFmtId="1" fontId="1" fillId="0" borderId="0"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quotePrefix="1">
      <alignment/>
    </xf>
    <xf numFmtId="0" fontId="1" fillId="0" borderId="0" xfId="0" applyFont="1" applyFill="1" applyAlignment="1">
      <alignment wrapText="1"/>
    </xf>
    <xf numFmtId="0" fontId="1" fillId="0" borderId="0" xfId="0" applyFont="1" applyFill="1" applyAlignment="1">
      <alignment/>
    </xf>
    <xf numFmtId="0" fontId="1" fillId="0" borderId="0" xfId="0" applyFont="1" applyAlignment="1">
      <alignment wrapText="1"/>
    </xf>
    <xf numFmtId="0" fontId="3" fillId="0" borderId="0" xfId="0" applyFont="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xf>
    <xf numFmtId="10" fontId="3" fillId="0" borderId="0" xfId="0" applyNumberFormat="1" applyFont="1" applyFill="1" applyBorder="1" applyAlignment="1">
      <alignment horizontal="center" vertical="center" textRotation="90" wrapText="1"/>
    </xf>
    <xf numFmtId="10" fontId="0" fillId="0" borderId="0" xfId="0" applyNumberFormat="1" applyAlignment="1">
      <alignment/>
    </xf>
    <xf numFmtId="10" fontId="1" fillId="0" borderId="0" xfId="0" applyNumberFormat="1" applyFont="1" applyAlignment="1">
      <alignment/>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0" fontId="1" fillId="24" borderId="0" xfId="0" applyFont="1" applyFill="1" applyAlignment="1">
      <alignment horizontal="center" vertical="center"/>
    </xf>
    <xf numFmtId="0" fontId="5" fillId="24" borderId="0" xfId="0" applyFont="1" applyFill="1" applyBorder="1" applyAlignment="1">
      <alignment horizontal="center" vertical="center"/>
    </xf>
    <xf numFmtId="0" fontId="1" fillId="24" borderId="0" xfId="0" applyFont="1" applyFill="1" applyBorder="1" applyAlignment="1">
      <alignment wrapText="1"/>
    </xf>
    <xf numFmtId="0" fontId="1" fillId="24" borderId="0" xfId="0" applyFont="1" applyFill="1" applyBorder="1" applyAlignment="1">
      <alignment horizontal="left"/>
    </xf>
    <xf numFmtId="4" fontId="1" fillId="24" borderId="0" xfId="0" applyNumberFormat="1" applyFont="1" applyFill="1" applyBorder="1" applyAlignment="1">
      <alignment horizontal="right"/>
    </xf>
    <xf numFmtId="1" fontId="1" fillId="24" borderId="0" xfId="0" applyNumberFormat="1" applyFont="1" applyFill="1" applyBorder="1" applyAlignment="1">
      <alignment horizontal="center"/>
    </xf>
    <xf numFmtId="43" fontId="1" fillId="24" borderId="0" xfId="46" applyFont="1" applyFill="1" applyAlignment="1">
      <alignment/>
    </xf>
    <xf numFmtId="0" fontId="0" fillId="24" borderId="0" xfId="0" applyFill="1" applyAlignment="1">
      <alignment/>
    </xf>
    <xf numFmtId="4" fontId="1" fillId="24" borderId="0" xfId="0" applyNumberFormat="1" applyFont="1" applyFill="1" applyAlignment="1">
      <alignment/>
    </xf>
    <xf numFmtId="10" fontId="1" fillId="24" borderId="0" xfId="0" applyNumberFormat="1" applyFont="1" applyFill="1" applyAlignment="1">
      <alignment/>
    </xf>
    <xf numFmtId="0" fontId="1" fillId="24" borderId="0" xfId="0" applyFont="1" applyFill="1" applyBorder="1" applyAlignment="1">
      <alignment/>
    </xf>
    <xf numFmtId="14" fontId="0" fillId="0" borderId="20" xfId="0" applyNumberFormat="1" applyFill="1" applyBorder="1" applyAlignment="1" quotePrefix="1">
      <alignment horizontal="center" vertical="center"/>
    </xf>
    <xf numFmtId="14" fontId="2" fillId="0" borderId="20" xfId="0" applyNumberFormat="1" applyFont="1" applyFill="1" applyBorder="1" applyAlignment="1">
      <alignment horizontal="center" vertical="center"/>
    </xf>
    <xf numFmtId="0" fontId="0" fillId="0" borderId="20" xfId="0" applyFill="1" applyBorder="1" applyAlignment="1">
      <alignment horizontal="left" vertical="center" wrapText="1"/>
    </xf>
    <xf numFmtId="16" fontId="1" fillId="0" borderId="20" xfId="0" applyNumberFormat="1" applyFont="1" applyFill="1" applyBorder="1" applyAlignment="1" quotePrefix="1">
      <alignment horizontal="center" vertical="center"/>
    </xf>
    <xf numFmtId="14" fontId="32" fillId="0" borderId="20" xfId="0" applyNumberFormat="1" applyFont="1" applyFill="1" applyBorder="1" applyAlignment="1">
      <alignment horizontal="center" vertical="center" wrapText="1"/>
    </xf>
    <xf numFmtId="14"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vertical="top" wrapText="1"/>
    </xf>
    <xf numFmtId="14" fontId="2" fillId="0" borderId="0" xfId="0" applyNumberFormat="1" applyFont="1" applyFill="1" applyBorder="1" applyAlignment="1" quotePrefix="1">
      <alignment horizontal="center" vertical="center"/>
    </xf>
    <xf numFmtId="4" fontId="0" fillId="0" borderId="20" xfId="0" applyNumberFormat="1" applyFill="1" applyBorder="1" applyAlignment="1">
      <alignment/>
    </xf>
    <xf numFmtId="4" fontId="0" fillId="0" borderId="20" xfId="0" applyNumberFormat="1" applyFill="1" applyBorder="1" applyAlignment="1">
      <alignment vertical="top" wrapText="1"/>
    </xf>
    <xf numFmtId="0" fontId="0" fillId="0" borderId="20" xfId="0" applyFill="1" applyBorder="1" applyAlignment="1">
      <alignment horizontal="right" vertical="top" wrapText="1"/>
    </xf>
    <xf numFmtId="4" fontId="0" fillId="0" borderId="20" xfId="0" applyNumberFormat="1" applyFill="1" applyBorder="1" applyAlignment="1">
      <alignment horizontal="right" vertical="top" wrapText="1"/>
    </xf>
    <xf numFmtId="4" fontId="1" fillId="24" borderId="0" xfId="0" applyNumberFormat="1" applyFont="1" applyFill="1" applyAlignment="1">
      <alignment horizontal="center" vertical="center"/>
    </xf>
    <xf numFmtId="4" fontId="1" fillId="24" borderId="0" xfId="0" applyNumberFormat="1" applyFont="1" applyFill="1" applyBorder="1" applyAlignment="1">
      <alignment horizontal="right" vertical="center"/>
    </xf>
    <xf numFmtId="4" fontId="16" fillId="0" borderId="0" xfId="0" applyNumberFormat="1" applyFont="1" applyFill="1" applyBorder="1" applyAlignment="1">
      <alignment horizontal="center" vertical="center" textRotation="90" wrapText="1"/>
    </xf>
    <xf numFmtId="4" fontId="16" fillId="0" borderId="0" xfId="0" applyNumberFormat="1" applyFont="1" applyFill="1" applyBorder="1" applyAlignment="1">
      <alignment horizontal="right" vertical="center"/>
    </xf>
    <xf numFmtId="4" fontId="31" fillId="4" borderId="15" xfId="0" applyNumberFormat="1" applyFont="1" applyFill="1" applyBorder="1" applyAlignment="1">
      <alignment horizontal="center"/>
    </xf>
    <xf numFmtId="4" fontId="31" fillId="26" borderId="14" xfId="0" applyNumberFormat="1" applyFont="1" applyFill="1" applyBorder="1" applyAlignment="1">
      <alignment horizontal="center"/>
    </xf>
    <xf numFmtId="4" fontId="31" fillId="4" borderId="14" xfId="0" applyNumberFormat="1" applyFont="1" applyFill="1" applyBorder="1" applyAlignment="1">
      <alignment horizontal="center"/>
    </xf>
    <xf numFmtId="4" fontId="31" fillId="4" borderId="0" xfId="0" applyNumberFormat="1" applyFont="1" applyFill="1" applyBorder="1" applyAlignment="1">
      <alignment horizontal="center"/>
    </xf>
    <xf numFmtId="4" fontId="0" fillId="0" borderId="0" xfId="0" applyNumberFormat="1" applyFill="1" applyAlignment="1">
      <alignment/>
    </xf>
    <xf numFmtId="0" fontId="4" fillId="0" borderId="0" xfId="0" applyFont="1" applyFill="1" applyBorder="1" applyAlignment="1">
      <alignment horizontal="center" vertical="center"/>
    </xf>
    <xf numFmtId="4" fontId="5" fillId="0" borderId="22" xfId="0" applyNumberFormat="1" applyFont="1" applyBorder="1" applyAlignment="1">
      <alignment horizontal="center"/>
    </xf>
    <xf numFmtId="4" fontId="5" fillId="0" borderId="23" xfId="0" applyNumberFormat="1" applyFont="1" applyBorder="1" applyAlignment="1">
      <alignment horizontal="center"/>
    </xf>
    <xf numFmtId="4" fontId="5" fillId="0" borderId="21" xfId="0" applyNumberFormat="1" applyFont="1" applyBorder="1" applyAlignment="1">
      <alignment horizontal="center"/>
    </xf>
    <xf numFmtId="4" fontId="3" fillId="10" borderId="0" xfId="0" applyNumberFormat="1" applyFont="1" applyFill="1" applyBorder="1" applyAlignment="1">
      <alignment horizontal="center"/>
    </xf>
    <xf numFmtId="0" fontId="1" fillId="0" borderId="0" xfId="0" applyFont="1" applyBorder="1" applyAlignment="1">
      <alignment horizontal="center"/>
    </xf>
    <xf numFmtId="4" fontId="3" fillId="10" borderId="15" xfId="0" applyNumberFormat="1" applyFont="1" applyFill="1" applyBorder="1" applyAlignment="1">
      <alignment horizontal="center"/>
    </xf>
    <xf numFmtId="4" fontId="3" fillId="24" borderId="0" xfId="0" applyNumberFormat="1" applyFont="1" applyFill="1" applyBorder="1" applyAlignment="1">
      <alignment horizontal="center"/>
    </xf>
    <xf numFmtId="0" fontId="1" fillId="24" borderId="0" xfId="0" applyFont="1" applyFill="1" applyBorder="1" applyAlignment="1">
      <alignment horizontal="center"/>
    </xf>
    <xf numFmtId="4" fontId="3" fillId="24" borderId="15" xfId="0" applyNumberFormat="1" applyFont="1" applyFill="1" applyBorder="1" applyAlignment="1">
      <alignment horizontal="center"/>
    </xf>
    <xf numFmtId="4" fontId="31" fillId="26" borderId="0" xfId="0" applyNumberFormat="1" applyFont="1" applyFill="1" applyBorder="1" applyAlignment="1">
      <alignment horizontal="center"/>
    </xf>
    <xf numFmtId="4" fontId="3" fillId="21" borderId="0" xfId="0" applyNumberFormat="1" applyFont="1" applyFill="1" applyBorder="1" applyAlignment="1">
      <alignment horizontal="center"/>
    </xf>
    <xf numFmtId="4" fontId="3" fillId="11" borderId="0" xfId="0" applyNumberFormat="1" applyFont="1" applyFill="1" applyBorder="1" applyAlignment="1">
      <alignment horizontal="center"/>
    </xf>
    <xf numFmtId="0" fontId="1" fillId="11" borderId="0" xfId="0" applyFont="1" applyFill="1" applyBorder="1" applyAlignment="1">
      <alignment horizontal="center"/>
    </xf>
    <xf numFmtId="4" fontId="3" fillId="11" borderId="15" xfId="0" applyNumberFormat="1" applyFont="1" applyFill="1" applyBorder="1" applyAlignment="1">
      <alignment horizontal="center"/>
    </xf>
    <xf numFmtId="4" fontId="3" fillId="19" borderId="0" xfId="0" applyNumberFormat="1" applyFont="1" applyFill="1" applyBorder="1" applyAlignment="1">
      <alignment horizontal="center"/>
    </xf>
    <xf numFmtId="0" fontId="1" fillId="19" borderId="0" xfId="0" applyFont="1" applyFill="1" applyBorder="1" applyAlignment="1">
      <alignment horizontal="center"/>
    </xf>
    <xf numFmtId="4" fontId="3" fillId="19" borderId="15" xfId="0" applyNumberFormat="1" applyFont="1" applyFill="1" applyBorder="1" applyAlignment="1">
      <alignment horizontal="center"/>
    </xf>
    <xf numFmtId="4" fontId="3" fillId="5" borderId="0" xfId="0" applyNumberFormat="1" applyFont="1" applyFill="1" applyBorder="1" applyAlignment="1">
      <alignment horizontal="center"/>
    </xf>
    <xf numFmtId="0" fontId="1" fillId="5" borderId="0" xfId="0" applyFont="1" applyFill="1" applyBorder="1" applyAlignment="1">
      <alignment horizontal="center"/>
    </xf>
    <xf numFmtId="0" fontId="1" fillId="10" borderId="0" xfId="0" applyFont="1" applyFill="1" applyBorder="1" applyAlignment="1">
      <alignment horizontal="center"/>
    </xf>
    <xf numFmtId="4" fontId="3" fillId="5" borderId="15" xfId="0" applyNumberFormat="1" applyFont="1" applyFill="1" applyBorder="1" applyAlignment="1">
      <alignment horizontal="center"/>
    </xf>
    <xf numFmtId="4" fontId="31" fillId="0" borderId="0" xfId="0" applyNumberFormat="1" applyFont="1" applyFill="1" applyBorder="1" applyAlignment="1">
      <alignment horizontal="center"/>
    </xf>
    <xf numFmtId="0" fontId="0" fillId="0" borderId="0" xfId="0" applyAlignment="1">
      <alignment/>
    </xf>
    <xf numFmtId="4" fontId="3" fillId="24" borderId="14" xfId="0" applyNumberFormat="1" applyFont="1" applyFill="1" applyBorder="1" applyAlignment="1">
      <alignment horizontal="center"/>
    </xf>
    <xf numFmtId="4" fontId="3" fillId="29" borderId="14" xfId="0" applyNumberFormat="1" applyFont="1" applyFill="1" applyBorder="1" applyAlignment="1">
      <alignment horizontal="center"/>
    </xf>
    <xf numFmtId="4" fontId="3" fillId="29" borderId="0" xfId="0" applyNumberFormat="1" applyFont="1" applyFill="1" applyBorder="1" applyAlignment="1">
      <alignment horizontal="center"/>
    </xf>
    <xf numFmtId="4" fontId="3" fillId="29" borderId="15" xfId="0" applyNumberFormat="1" applyFont="1" applyFill="1" applyBorder="1" applyAlignment="1">
      <alignment horizontal="center"/>
    </xf>
    <xf numFmtId="4" fontId="31" fillId="24" borderId="14" xfId="0" applyNumberFormat="1" applyFont="1" applyFill="1" applyBorder="1" applyAlignment="1">
      <alignment horizontal="center"/>
    </xf>
    <xf numFmtId="4" fontId="31" fillId="24" borderId="0" xfId="0" applyNumberFormat="1" applyFont="1" applyFill="1" applyBorder="1" applyAlignment="1">
      <alignment horizontal="center"/>
    </xf>
    <xf numFmtId="4" fontId="3" fillId="10" borderId="14" xfId="0" applyNumberFormat="1" applyFont="1" applyFill="1" applyBorder="1" applyAlignment="1">
      <alignment horizontal="center"/>
    </xf>
    <xf numFmtId="4" fontId="3" fillId="15" borderId="14" xfId="0" applyNumberFormat="1" applyFont="1" applyFill="1" applyBorder="1" applyAlignment="1">
      <alignment horizontal="center"/>
    </xf>
    <xf numFmtId="4" fontId="3" fillId="15" borderId="0" xfId="0" applyNumberFormat="1" applyFont="1" applyFill="1" applyBorder="1" applyAlignment="1">
      <alignment horizontal="center"/>
    </xf>
    <xf numFmtId="4" fontId="3" fillId="15" borderId="15" xfId="0" applyNumberFormat="1" applyFont="1" applyFill="1" applyBorder="1" applyAlignment="1">
      <alignment horizontal="center"/>
    </xf>
    <xf numFmtId="4" fontId="3" fillId="4" borderId="14" xfId="0" applyNumberFormat="1" applyFont="1" applyFill="1" applyBorder="1" applyAlignment="1">
      <alignment horizontal="center"/>
    </xf>
    <xf numFmtId="4" fontId="3" fillId="4" borderId="0" xfId="0" applyNumberFormat="1" applyFont="1" applyFill="1" applyBorder="1" applyAlignment="1">
      <alignment horizontal="center"/>
    </xf>
    <xf numFmtId="4" fontId="3" fillId="4" borderId="15" xfId="0" applyNumberFormat="1" applyFont="1" applyFill="1" applyBorder="1" applyAlignment="1">
      <alignment horizontal="center"/>
    </xf>
    <xf numFmtId="4" fontId="3" fillId="30" borderId="14" xfId="0" applyNumberFormat="1" applyFont="1" applyFill="1" applyBorder="1" applyAlignment="1">
      <alignment horizontal="center"/>
    </xf>
    <xf numFmtId="4" fontId="3" fillId="30" borderId="0" xfId="0" applyNumberFormat="1" applyFont="1" applyFill="1" applyBorder="1" applyAlignment="1">
      <alignment horizontal="center"/>
    </xf>
    <xf numFmtId="4" fontId="3" fillId="30" borderId="15" xfId="0" applyNumberFormat="1" applyFont="1" applyFill="1" applyBorder="1" applyAlignment="1">
      <alignment horizontal="center"/>
    </xf>
    <xf numFmtId="0" fontId="9" fillId="0" borderId="0" xfId="0" applyFont="1" applyAlignment="1">
      <alignment vertical="top"/>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4" fontId="4" fillId="0" borderId="13"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14" fontId="10" fillId="0" borderId="13" xfId="0" applyNumberFormat="1" applyFont="1" applyFill="1" applyBorder="1" applyAlignment="1">
      <alignment horizontal="center" vertical="center"/>
    </xf>
    <xf numFmtId="14" fontId="10" fillId="0" borderId="16" xfId="0" applyNumberFormat="1" applyFont="1" applyFill="1" applyBorder="1" applyAlignment="1">
      <alignment horizontal="center" vertical="center"/>
    </xf>
    <xf numFmtId="14" fontId="10" fillId="0" borderId="19"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14" fontId="1" fillId="0" borderId="16" xfId="0" applyNumberFormat="1" applyFont="1" applyFill="1" applyBorder="1" applyAlignment="1">
      <alignment horizontal="center" vertical="center"/>
    </xf>
    <xf numFmtId="14" fontId="1" fillId="0" borderId="19"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14" fontId="3" fillId="0" borderId="19"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13" xfId="0" applyFont="1" applyFill="1" applyBorder="1" applyAlignment="1" quotePrefix="1">
      <alignment horizontal="center" vertical="center" wrapText="1"/>
    </xf>
    <xf numFmtId="0" fontId="1" fillId="0" borderId="16" xfId="0" applyFont="1" applyFill="1" applyBorder="1" applyAlignment="1" quotePrefix="1">
      <alignment horizontal="center" vertical="center" wrapText="1"/>
    </xf>
    <xf numFmtId="0" fontId="1" fillId="0" borderId="19" xfId="0" applyFont="1" applyFill="1" applyBorder="1" applyAlignment="1" quotePrefix="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5" fillId="0" borderId="0" xfId="0" applyFont="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52" fillId="0" borderId="22" xfId="0" applyFont="1" applyBorder="1" applyAlignment="1">
      <alignment horizontal="left" vertical="center"/>
    </xf>
    <xf numFmtId="0" fontId="52" fillId="0" borderId="23" xfId="0" applyFont="1" applyBorder="1" applyAlignment="1">
      <alignment horizontal="left" vertical="center"/>
    </xf>
    <xf numFmtId="0" fontId="52" fillId="0" borderId="21" xfId="0" applyFont="1" applyBorder="1" applyAlignment="1">
      <alignment horizontal="left" vertical="center"/>
    </xf>
    <xf numFmtId="0" fontId="50" fillId="0" borderId="22" xfId="0" applyFont="1" applyFill="1" applyBorder="1" applyAlignment="1">
      <alignment horizontal="center" vertical="center" wrapText="1" readingOrder="1"/>
    </xf>
    <xf numFmtId="0" fontId="50" fillId="0" borderId="21" xfId="0" applyFont="1" applyFill="1" applyBorder="1" applyAlignment="1">
      <alignment horizontal="center" vertical="center" wrapText="1" readingOrder="1"/>
    </xf>
    <xf numFmtId="1" fontId="50" fillId="0" borderId="22" xfId="0" applyNumberFormat="1" applyFont="1" applyBorder="1" applyAlignment="1">
      <alignment horizontal="center" vertical="center" wrapText="1"/>
    </xf>
    <xf numFmtId="1" fontId="50" fillId="0" borderId="23" xfId="0" applyNumberFormat="1" applyFont="1" applyBorder="1" applyAlignment="1">
      <alignment horizontal="center" vertical="center" wrapText="1"/>
    </xf>
    <xf numFmtId="1" fontId="50" fillId="0" borderId="21" xfId="0" applyNumberFormat="1" applyFont="1" applyBorder="1" applyAlignment="1">
      <alignment horizontal="center" vertical="center" wrapText="1"/>
    </xf>
    <xf numFmtId="10" fontId="7" fillId="0" borderId="13" xfId="0" applyNumberFormat="1" applyFont="1" applyBorder="1" applyAlignment="1">
      <alignment horizontal="center" vertical="center" wrapText="1"/>
    </xf>
    <xf numFmtId="10" fontId="7" fillId="0" borderId="19" xfId="0" applyNumberFormat="1" applyFont="1" applyBorder="1" applyAlignment="1">
      <alignment horizontal="center" vertical="center" wrapText="1"/>
    </xf>
    <xf numFmtId="10" fontId="7" fillId="0" borderId="24" xfId="0" applyNumberFormat="1" applyFont="1" applyBorder="1" applyAlignment="1">
      <alignment horizontal="center" vertical="center" wrapText="1"/>
    </xf>
    <xf numFmtId="10" fontId="7" fillId="0" borderId="25" xfId="0" applyNumberFormat="1" applyFont="1" applyBorder="1" applyAlignment="1">
      <alignment horizontal="center" vertical="center" wrapText="1"/>
    </xf>
    <xf numFmtId="10" fontId="7" fillId="0" borderId="26" xfId="0" applyNumberFormat="1" applyFont="1" applyBorder="1" applyAlignment="1">
      <alignment horizontal="center" vertical="center" wrapText="1"/>
    </xf>
    <xf numFmtId="0" fontId="50" fillId="0" borderId="13" xfId="0" applyFont="1" applyFill="1" applyBorder="1" applyAlignment="1">
      <alignment horizontal="center" vertical="center" textRotation="90" wrapText="1"/>
    </xf>
    <xf numFmtId="0" fontId="50" fillId="0" borderId="19" xfId="0" applyFont="1" applyFill="1" applyBorder="1" applyAlignment="1">
      <alignment horizontal="center" vertical="center" textRotation="90" wrapText="1"/>
    </xf>
    <xf numFmtId="0" fontId="50" fillId="0" borderId="13" xfId="0" applyFont="1" applyFill="1" applyBorder="1" applyAlignment="1">
      <alignment horizontal="center" vertical="center" wrapText="1" readingOrder="1"/>
    </xf>
    <xf numFmtId="0" fontId="50" fillId="0" borderId="19" xfId="0" applyFont="1" applyFill="1" applyBorder="1" applyAlignment="1">
      <alignment horizontal="center" vertical="center" wrapText="1" readingOrder="1"/>
    </xf>
    <xf numFmtId="0" fontId="50" fillId="0" borderId="13" xfId="0" applyFont="1" applyFill="1" applyBorder="1" applyAlignment="1">
      <alignment horizontal="center" vertical="center" readingOrder="1"/>
    </xf>
    <xf numFmtId="0" fontId="50" fillId="0" borderId="19" xfId="0" applyFont="1" applyFill="1" applyBorder="1" applyAlignment="1">
      <alignment horizontal="center" vertical="center" readingOrder="1"/>
    </xf>
    <xf numFmtId="0" fontId="50" fillId="0" borderId="22" xfId="0" applyFont="1" applyFill="1" applyBorder="1" applyAlignment="1">
      <alignment horizontal="center" vertical="center" readingOrder="1"/>
    </xf>
    <xf numFmtId="0" fontId="50" fillId="0" borderId="23" xfId="0" applyFont="1" applyFill="1" applyBorder="1" applyAlignment="1">
      <alignment horizontal="center" vertical="center" readingOrder="1"/>
    </xf>
    <xf numFmtId="0" fontId="50" fillId="0" borderId="21" xfId="0" applyFont="1" applyFill="1" applyBorder="1" applyAlignment="1">
      <alignment horizontal="center" vertical="center" readingOrder="1"/>
    </xf>
    <xf numFmtId="43" fontId="1" fillId="0" borderId="0" xfId="46" applyFont="1" applyFill="1" applyAlignment="1">
      <alignment/>
    </xf>
    <xf numFmtId="4" fontId="1" fillId="0" borderId="0" xfId="0" applyNumberFormat="1" applyFont="1" applyFill="1" applyAlignment="1">
      <alignment/>
    </xf>
    <xf numFmtId="10" fontId="1" fillId="0" borderId="0" xfId="0" applyNumberFormat="1" applyFont="1" applyFill="1" applyAlignment="1">
      <alignment/>
    </xf>
    <xf numFmtId="4" fontId="1" fillId="0" borderId="0" xfId="0" applyNumberFormat="1" applyFont="1" applyAlignment="1" quotePrefix="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situazion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ra.puglia@tiscali.it"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cibari@libero.it" TargetMode="External" /><Relationship Id="rId2" Type="http://schemas.openxmlformats.org/officeDocument/2006/relationships/hyperlink" Target="mailto:confartigianato.puglia@virgilio.it" TargetMode="External" /><Relationship Id="rId3" Type="http://schemas.openxmlformats.org/officeDocument/2006/relationships/hyperlink" Target="mailto:infobari@archiworld.it" TargetMode="External" /><Relationship Id="rId4" Type="http://schemas.openxmlformats.org/officeDocument/2006/relationships/hyperlink" Target="mailto:confapipuglia@libero.it" TargetMode="External" /><Relationship Id="rId5" Type="http://schemas.openxmlformats.org/officeDocument/2006/relationships/hyperlink" Target="mailto:samy.dicomite@inwind.it" TargetMode="External" /><Relationship Id="rId6" Type="http://schemas.openxmlformats.org/officeDocument/2006/relationships/hyperlink" Target="mailto:amoruso@danieleamoruso.it" TargetMode="External" /><Relationship Id="rId7" Type="http://schemas.openxmlformats.org/officeDocument/2006/relationships/hyperlink" Target="mailto:ancepgl@tin.it" TargetMode="External" /><Relationship Id="rId8" Type="http://schemas.openxmlformats.org/officeDocument/2006/relationships/hyperlink" Target="mailto:rmarazia@libero.it" TargetMode="External" /><Relationship Id="rId9" Type="http://schemas.openxmlformats.org/officeDocument/2006/relationships/hyperlink" Target="mailto:federazioneingegneri@ingpuglia.it" TargetMode="External" /><Relationship Id="rId10" Type="http://schemas.openxmlformats.org/officeDocument/2006/relationships/hyperlink" Target="mailto:info@ordinemedici-lecce.it" TargetMode="External" /><Relationship Id="rId11" Type="http://schemas.openxmlformats.org/officeDocument/2006/relationships/hyperlink" Target="mailto:info@pugliadoc.net" TargetMode="External" /><Relationship Id="rId12" Type="http://schemas.openxmlformats.org/officeDocument/2006/relationships/hyperlink" Target="mailto:puglia@cia.it" TargetMode="External" /><Relationship Id="rId13" Type="http://schemas.openxmlformats.org/officeDocument/2006/relationships/hyperlink" Target="mailto:targeda@libero.it" TargetMode="External" /><Relationship Id="rId14" Type="http://schemas.openxmlformats.org/officeDocument/2006/relationships/hyperlink" Target="mailto:conf-puglia@flashnet.it" TargetMode="External" /><Relationship Id="rId15" Type="http://schemas.openxmlformats.org/officeDocument/2006/relationships/hyperlink" Target="mailto:apimasalento@libero.it" TargetMode="External" /><Relationship Id="rId16" Type="http://schemas.openxmlformats.org/officeDocument/2006/relationships/hyperlink" Target="mailto:manzariv@sudsistemi.it" TargetMode="External" /><Relationship Id="rId17" Type="http://schemas.openxmlformats.org/officeDocument/2006/relationships/hyperlink" Target="mailto:studiomilillo@libero.it" TargetMode="External" /><Relationship Id="rId18" Type="http://schemas.openxmlformats.org/officeDocument/2006/relationships/hyperlink" Target="mailto:robertopapadia@tiscali.it" TargetMode="External" /><Relationship Id="rId19" Type="http://schemas.openxmlformats.org/officeDocument/2006/relationships/hyperlink" Target="mailto:ced@apaba.it" TargetMode="External" /><Relationship Id="rId20" Type="http://schemas.openxmlformats.org/officeDocument/2006/relationships/hyperlink" Target="mailto:puglia@confcommercio.it" TargetMode="External" /><Relationship Id="rId21" Type="http://schemas.openxmlformats.org/officeDocument/2006/relationships/hyperlink" Target="mailto:confindustriapuglia@confindustriapuglia.it" TargetMode="External" /><Relationship Id="rId22" Type="http://schemas.openxmlformats.org/officeDocument/2006/relationships/hyperlink" Target="mailto:ancepgl@tin.it" TargetMode="External" /><Relationship Id="rId23" Type="http://schemas.openxmlformats.org/officeDocument/2006/relationships/hyperlink" Target="mailto:confapipuglia@libero.it" TargetMode="External" /><Relationship Id="rId24" Type="http://schemas.openxmlformats.org/officeDocument/2006/relationships/hyperlink" Target="mailto:confartigianato.puglia@virgilio.it" TargetMode="External" /><Relationship Id="rId25" Type="http://schemas.openxmlformats.org/officeDocument/2006/relationships/hyperlink" Target="mailto:uncibari@libero.it" TargetMode="External" /><Relationship Id="rId26" Type="http://schemas.openxmlformats.org/officeDocument/2006/relationships/hyperlink" Target="mailto:targeda@libero.it" TargetMode="External" /><Relationship Id="rId27" Type="http://schemas.openxmlformats.org/officeDocument/2006/relationships/hyperlink" Target="mailto:conf-puglia@flashnet.it" TargetMode="External" /><Relationship Id="rId28" Type="http://schemas.openxmlformats.org/officeDocument/2006/relationships/hyperlink" Target="mailto:amoruso@danieleamoruso.it" TargetMode="External" /><Relationship Id="rId29" Type="http://schemas.openxmlformats.org/officeDocument/2006/relationships/hyperlink" Target="mailto:c.fonseca@tiscali.it" TargetMode="External" /><Relationship Id="rId30" Type="http://schemas.openxmlformats.org/officeDocument/2006/relationships/hyperlink" Target="mailto:r.rollo@ausl.le.it" TargetMode="External" /><Relationship Id="rId31" Type="http://schemas.openxmlformats.org/officeDocument/2006/relationships/hyperlink" Target="mailto:f.catapano@cia.it" TargetMode="External" /><Relationship Id="rId32" Type="http://schemas.openxmlformats.org/officeDocument/2006/relationships/hyperlink" Target="mailto:gio725@libero.it" TargetMode="External" /><Relationship Id="rId33" Type="http://schemas.openxmlformats.org/officeDocument/2006/relationships/hyperlink" Target="mailto:apimasalento@libero.it" TargetMode="External" /><Relationship Id="rId34" Type="http://schemas.openxmlformats.org/officeDocument/2006/relationships/hyperlink" Target="mailto:bari@cng.it" TargetMode="External" /><Relationship Id="rId35" Type="http://schemas.openxmlformats.org/officeDocument/2006/relationships/hyperlink" Target="mailto:bari@cng.it" TargetMode="External" /><Relationship Id="rId36" Type="http://schemas.openxmlformats.org/officeDocument/2006/relationships/hyperlink" Target="mailto:carlo.poppa@libero.it" TargetMode="External" /><Relationship Id="rId37" Type="http://schemas.openxmlformats.org/officeDocument/2006/relationships/hyperlink" Target="mailto:puglia@confcommercio.it" TargetMode="External" /><Relationship Id="rId38" Type="http://schemas.openxmlformats.org/officeDocument/2006/relationships/hyperlink" Target="mailto:puglia@cna.it" TargetMode="External" /><Relationship Id="rId39" Type="http://schemas.openxmlformats.org/officeDocument/2006/relationships/hyperlink" Target="mailto:Cnalucera@tiscalinet.it" TargetMode="External" /><Relationship Id="rId40" Type="http://schemas.openxmlformats.org/officeDocument/2006/relationships/hyperlink" Target="\\Sciacovellitcno\Misura62%20di%20nicola\Misura%2062%20imprese\valutazioni\44%20e_VNC%20ingegneri\Istruttoria%20richiesta%20I%20quota.doc" TargetMode="External" /><Relationship Id="rId41" Type="http://schemas.openxmlformats.org/officeDocument/2006/relationships/hyperlink" Target="\\Sciacovellitcno\Misura62%20di%20nicola\Misura%2062%20imprese\valutazioni\29_cimo-626net\Istruttoria%20richiesta%20I%20quota.doc" TargetMode="External" /><Relationship Id="rId42" Type="http://schemas.openxmlformats.org/officeDocument/2006/relationships/hyperlink" Target="\\Sciacovellitcno\Misura62%20di%20nicola\Misura%2062%20imprese\valutazioni\47-ASSIOLIVI\Istruttoria%20richiesta%20I%20quota.doc" TargetMode="External" /><Relationship Id="rId43" Type="http://schemas.openxmlformats.org/officeDocument/2006/relationships/hyperlink" Target="\\Sciacovellitcno\Misura62%20di%20nicola\Misura%2062%20imprese\valutazioni\45_PugliaDoc\Istruttoria%20richiesta%20I%20quota.doc" TargetMode="External" /><Relationship Id="rId44" Type="http://schemas.openxmlformats.org/officeDocument/2006/relationships/hyperlink" Target="\\Sciacovellitcno\Misura62%20di%20nicola\Misura%2062%20imprese\valutazioni\39_Apima\Istruttoria%20richiesta%20I%20quota.doc" TargetMode="External" /><Relationship Id="rId45" Type="http://schemas.openxmlformats.org/officeDocument/2006/relationships/hyperlink" Target="mailto:legacoop@legapuglia.it" TargetMode="External" /><Relationship Id="rId46" Type="http://schemas.openxmlformats.org/officeDocument/2006/relationships/hyperlink" Target="\\Sciacovellitcno\Misura62%20di%20nicola\Misura%2062%20imprese\valutazioni\27_Costellazione_apulia\istruttoria%20richiesta%20I%20erogazione.doc" TargetMode="External" /><Relationship Id="rId47" Type="http://schemas.openxmlformats.org/officeDocument/2006/relationships/hyperlink" Target="\\Sciacovellitcno\Misura62%20di%20nicola\Misura%2062%20imprese\valutazioni\09_confapi\Istruttoria%20I%20Quota.doc" TargetMode="External" /><Relationship Id="rId48" Type="http://schemas.openxmlformats.org/officeDocument/2006/relationships/hyperlink" Target="\\Sciacovellitcno\Misura62%20di%20nicola\Misura%2062%20imprese\valutazioni\31_Geometri2net\Istruttoria%20I%20Quota.doc" TargetMode="External" /><Relationship Id="rId49" Type="http://schemas.openxmlformats.org/officeDocument/2006/relationships/hyperlink" Target="\\Sciacovellitcno\Misura62%20di%20nicola\Misura%2062%20imprese\valutazioni\28_CNA_@sso_net\Istruttoria%20I%20Quota.doc" TargetMode="External" /><Relationship Id="rId50" Type="http://schemas.openxmlformats.org/officeDocument/2006/relationships/hyperlink" Target="\\Sciacovellitcno\Misura62%20di%20nicola\Misura%2062%20imprese\valutazioni\30-Viridia%20Agronomi\Istruttoria%20I%20Quota.doc" TargetMode="External" /><Relationship Id="rId51" Type="http://schemas.openxmlformats.org/officeDocument/2006/relationships/hyperlink" Target="\\Sciacovellitcno\Misura62%20di%20nicola\Misura%2062%20imprese\valutazioni\15_e-coop\Istruttoria%20I%20Quota.doc" TargetMode="External" /><Relationship Id="rId52" Type="http://schemas.openxmlformats.org/officeDocument/2006/relationships/hyperlink" Target="\\Sciacovellitcno\Misura62%20di%20nicola\Misura%2062%20imprese\valutazioni\10_Confesercenti\Istruttoria%20I%20Quota.doc" TargetMode="External" /><Relationship Id="rId53" Type="http://schemas.openxmlformats.org/officeDocument/2006/relationships/hyperlink" Target="\\Sciacovellitcno\Misura62%20di%20nicola\Misura%2062%20imprese\valutazioni\14_confartigianato\Istruttoria%20I%20Quota.doc" TargetMode="External" /><Relationship Id="rId54" Type="http://schemas.openxmlformats.org/officeDocument/2006/relationships/hyperlink" Target="\\Sciacovellitcno\Misura62%20di%20nicola\Misura%2062%20imprese\valutazioni\04_Ance_Crised\Istruttoria%20I%20Quota.doc" TargetMode="External" /><Relationship Id="rId55" Type="http://schemas.openxmlformats.org/officeDocument/2006/relationships/hyperlink" Target="\\Sciacovellitcno\Misura62%20di%20nicola\Misura%2062%20imprese\valutazioni\34_CIA%20scia-net\Istruttoria%20I%20Quota.doc" TargetMode="External" /><Relationship Id="rId56" Type="http://schemas.openxmlformats.org/officeDocument/2006/relationships/hyperlink" Target="\\Sciacovellitcno\Misura62%20di%20nicola\Misura%2062%20imprese\valutazioni\25_Arch-online_Ass_Architetti\Istruttoria%20I%20Quota.doc" TargetMode="External" /><Relationship Id="rId57" Type="http://schemas.openxmlformats.org/officeDocument/2006/relationships/hyperlink" Target="\\Sciacovellitcno\Misura62%20di%20nicola\Misura%2062%20imprese\valutazioni\32_ARA%20I-Cow\Istruttoria%20I%20Quota.doc" TargetMode="External" /><Relationship Id="rId58" Type="http://schemas.openxmlformats.org/officeDocument/2006/relationships/hyperlink" Target="\\Sciacovellitcno\divella\Documenti\50-Confcommercio%20Incom\Istruttoria%20I%20Quota.doc" TargetMode="External" /><Relationship Id="rId59" Type="http://schemas.openxmlformats.org/officeDocument/2006/relationships/hyperlink" Target="mailto:fabio.spilotros@libero.it" TargetMode="External" /><Relationship Id="rId60" Type="http://schemas.openxmlformats.org/officeDocument/2006/relationships/hyperlink" Target="\\Sciacovellitcno\divella\Documenti\26_farmacisti\Istruttoria%20I%20quota%20anticipazione.doc" TargetMode="External" /><Relationship Id="rId61" Type="http://schemas.openxmlformats.org/officeDocument/2006/relationships/hyperlink" Target="mailto:ara.puglia@tiscali.it" TargetMode="External" /><Relationship Id="rId62" Type="http://schemas.openxmlformats.org/officeDocument/2006/relationships/hyperlink" Target="mailto:fabio.spilotros@libero.it" TargetMode="External" /><Relationship Id="rId63" Type="http://schemas.openxmlformats.org/officeDocument/2006/relationships/hyperlink" Target="mailto:dora.palmiotti@costellazioneapulia.net" TargetMode="External" /><Relationship Id="rId64" Type="http://schemas.openxmlformats.org/officeDocument/2006/relationships/comments" Target="../comments2.xml" /><Relationship Id="rId65" Type="http://schemas.openxmlformats.org/officeDocument/2006/relationships/vmlDrawing" Target="../drawings/vmlDrawing1.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ora.palmiotti@costellazioneapulia.net" TargetMode="External" /><Relationship Id="rId2" Type="http://schemas.openxmlformats.org/officeDocument/2006/relationships/hyperlink" Target="mailto:fabio.spilotros@libero.it" TargetMode="External" /><Relationship Id="rId3" Type="http://schemas.openxmlformats.org/officeDocument/2006/relationships/hyperlink" Target="mailto:ara.puglia@tiscali.it" TargetMode="External" /><Relationship Id="rId4" Type="http://schemas.openxmlformats.org/officeDocument/2006/relationships/hyperlink" Target="\\Sciacovellitcno\divella\Documenti\26_farmacisti\Istruttoria%20I%20quota%20anticipazione.doc" TargetMode="External" /><Relationship Id="rId5" Type="http://schemas.openxmlformats.org/officeDocument/2006/relationships/hyperlink" Target="mailto:fabio.spilotros@libero.it" TargetMode="External" /><Relationship Id="rId6" Type="http://schemas.openxmlformats.org/officeDocument/2006/relationships/hyperlink" Target="\\Sciacovellitcno\divella\Documenti\50-Confcommercio%20Incom\Istruttoria%20I%20Quota.doc" TargetMode="External" /><Relationship Id="rId7" Type="http://schemas.openxmlformats.org/officeDocument/2006/relationships/hyperlink" Target="\\Sciacovellitcno\Misura62%20di%20nicola\Misura%2062%20imprese\valutazioni\32_ARA%20I-Cow\Istruttoria%20I%20Quota.doc" TargetMode="External" /><Relationship Id="rId8" Type="http://schemas.openxmlformats.org/officeDocument/2006/relationships/hyperlink" Target="\\Sciacovellitcno\Misura62%20di%20nicola\Misura%2062%20imprese\valutazioni\25_Arch-online_Ass_Architetti\Istruttoria%20I%20Quota.doc" TargetMode="External" /><Relationship Id="rId9" Type="http://schemas.openxmlformats.org/officeDocument/2006/relationships/hyperlink" Target="\\Sciacovellitcno\Misura62%20di%20nicola\Misura%2062%20imprese\valutazioni\34_CIA%20scia-net\Istruttoria%20I%20Quota.doc" TargetMode="External" /><Relationship Id="rId10" Type="http://schemas.openxmlformats.org/officeDocument/2006/relationships/hyperlink" Target="\\Sciacovellitcno\Misura62%20di%20nicola\Misura%2062%20imprese\valutazioni\04_Ance_Crised\Istruttoria%20I%20Quota.doc" TargetMode="External" /><Relationship Id="rId11" Type="http://schemas.openxmlformats.org/officeDocument/2006/relationships/hyperlink" Target="\\Sciacovellitcno\Misura62%20di%20nicola\Misura%2062%20imprese\valutazioni\14_confartigianato\Istruttoria%20I%20Quota.doc" TargetMode="External" /><Relationship Id="rId12" Type="http://schemas.openxmlformats.org/officeDocument/2006/relationships/hyperlink" Target="\\Sciacovellitcno\Misura62%20di%20nicola\Misura%2062%20imprese\valutazioni\10_Confesercenti\Istruttoria%20I%20Quota.doc" TargetMode="External" /><Relationship Id="rId13" Type="http://schemas.openxmlformats.org/officeDocument/2006/relationships/hyperlink" Target="\\Sciacovellitcno\Misura62%20di%20nicola\Misura%2062%20imprese\valutazioni\15_e-coop\Istruttoria%20I%20Quota.doc" TargetMode="External" /><Relationship Id="rId14" Type="http://schemas.openxmlformats.org/officeDocument/2006/relationships/hyperlink" Target="\\Sciacovellitcno\Misura62%20di%20nicola\Misura%2062%20imprese\valutazioni\30-Viridia%20Agronomi\Istruttoria%20I%20Quota.doc" TargetMode="External" /><Relationship Id="rId15" Type="http://schemas.openxmlformats.org/officeDocument/2006/relationships/hyperlink" Target="\\Sciacovellitcno\Misura62%20di%20nicola\Misura%2062%20imprese\valutazioni\28_CNA_@sso_net\Istruttoria%20I%20Quota.doc" TargetMode="External" /><Relationship Id="rId16" Type="http://schemas.openxmlformats.org/officeDocument/2006/relationships/hyperlink" Target="\\Sciacovellitcno\Misura62%20di%20nicola\Misura%2062%20imprese\valutazioni\31_Geometri2net\Istruttoria%20I%20Quota.doc" TargetMode="External" /><Relationship Id="rId17" Type="http://schemas.openxmlformats.org/officeDocument/2006/relationships/hyperlink" Target="\\Sciacovellitcno\Misura62%20di%20nicola\Misura%2062%20imprese\valutazioni\09_confapi\Istruttoria%20I%20Quota.doc" TargetMode="External" /><Relationship Id="rId18" Type="http://schemas.openxmlformats.org/officeDocument/2006/relationships/hyperlink" Target="\\Sciacovellitcno\Misura62%20di%20nicola\Misura%2062%20imprese\valutazioni\27_Costellazione_apulia\istruttoria%20richiesta%20I%20erogazione.doc" TargetMode="External" /><Relationship Id="rId19" Type="http://schemas.openxmlformats.org/officeDocument/2006/relationships/hyperlink" Target="mailto:legacoop@legapuglia.it" TargetMode="External" /><Relationship Id="rId20" Type="http://schemas.openxmlformats.org/officeDocument/2006/relationships/hyperlink" Target="\\Sciacovellitcno\Misura62%20di%20nicola\Misura%2062%20imprese\valutazioni\39_Apima\Istruttoria%20richiesta%20I%20quota.doc" TargetMode="External" /><Relationship Id="rId21" Type="http://schemas.openxmlformats.org/officeDocument/2006/relationships/hyperlink" Target="\\Sciacovellitcno\Misura62%20di%20nicola\Misura%2062%20imprese\valutazioni\45_PugliaDoc\Istruttoria%20richiesta%20I%20quota.doc" TargetMode="External" /><Relationship Id="rId22" Type="http://schemas.openxmlformats.org/officeDocument/2006/relationships/hyperlink" Target="\\Sciacovellitcno\Misura62%20di%20nicola\Misura%2062%20imprese\valutazioni\47-ASSIOLIVI\Istruttoria%20richiesta%20I%20quota.doc" TargetMode="External" /><Relationship Id="rId23" Type="http://schemas.openxmlformats.org/officeDocument/2006/relationships/hyperlink" Target="\\Sciacovellitcno\Misura62%20di%20nicola\Misura%2062%20imprese\valutazioni\29_cimo-626net\Istruttoria%20richiesta%20I%20quota.doc" TargetMode="External" /><Relationship Id="rId24" Type="http://schemas.openxmlformats.org/officeDocument/2006/relationships/hyperlink" Target="\\Sciacovellitcno\Misura62%20di%20nicola\Misura%2062%20imprese\valutazioni\44%20e_VNC%20ingegneri\Istruttoria%20richiesta%20I%20quota.doc" TargetMode="External" /><Relationship Id="rId25" Type="http://schemas.openxmlformats.org/officeDocument/2006/relationships/hyperlink" Target="mailto:Cnalucera@tiscalinet.it" TargetMode="External" /><Relationship Id="rId26" Type="http://schemas.openxmlformats.org/officeDocument/2006/relationships/hyperlink" Target="mailto:puglia@cna.it" TargetMode="External" /><Relationship Id="rId27" Type="http://schemas.openxmlformats.org/officeDocument/2006/relationships/hyperlink" Target="mailto:puglia@confcommercio.it" TargetMode="External" /><Relationship Id="rId28" Type="http://schemas.openxmlformats.org/officeDocument/2006/relationships/hyperlink" Target="mailto:carlo.poppa@libero.it" TargetMode="External" /><Relationship Id="rId29" Type="http://schemas.openxmlformats.org/officeDocument/2006/relationships/hyperlink" Target="mailto:bari@cng.it" TargetMode="External" /><Relationship Id="rId30" Type="http://schemas.openxmlformats.org/officeDocument/2006/relationships/hyperlink" Target="mailto:bari@cng.it" TargetMode="External" /><Relationship Id="rId31" Type="http://schemas.openxmlformats.org/officeDocument/2006/relationships/hyperlink" Target="mailto:apimasalento@libero.it" TargetMode="External" /><Relationship Id="rId32" Type="http://schemas.openxmlformats.org/officeDocument/2006/relationships/hyperlink" Target="mailto:gio725@libero.it" TargetMode="External" /><Relationship Id="rId33" Type="http://schemas.openxmlformats.org/officeDocument/2006/relationships/hyperlink" Target="mailto:f.catapano@cia.it" TargetMode="External" /><Relationship Id="rId34" Type="http://schemas.openxmlformats.org/officeDocument/2006/relationships/hyperlink" Target="mailto:r.rollo@ausl.le.it" TargetMode="External" /><Relationship Id="rId35" Type="http://schemas.openxmlformats.org/officeDocument/2006/relationships/hyperlink" Target="mailto:c.fonseca@tiscali.it" TargetMode="External" /><Relationship Id="rId36" Type="http://schemas.openxmlformats.org/officeDocument/2006/relationships/hyperlink" Target="mailto:amoruso@danieleamoruso.it" TargetMode="External" /><Relationship Id="rId37" Type="http://schemas.openxmlformats.org/officeDocument/2006/relationships/hyperlink" Target="mailto:conf-puglia@flashnet.it" TargetMode="External" /><Relationship Id="rId38" Type="http://schemas.openxmlformats.org/officeDocument/2006/relationships/hyperlink" Target="mailto:targeda@libero.it" TargetMode="External" /><Relationship Id="rId39" Type="http://schemas.openxmlformats.org/officeDocument/2006/relationships/hyperlink" Target="mailto:uncibari@libero.it" TargetMode="External" /><Relationship Id="rId40" Type="http://schemas.openxmlformats.org/officeDocument/2006/relationships/hyperlink" Target="mailto:confartigianato.puglia@virgilio.it" TargetMode="External" /><Relationship Id="rId41" Type="http://schemas.openxmlformats.org/officeDocument/2006/relationships/hyperlink" Target="mailto:confapipuglia@libero.it" TargetMode="External" /><Relationship Id="rId42" Type="http://schemas.openxmlformats.org/officeDocument/2006/relationships/hyperlink" Target="mailto:ancepgl@tin.it" TargetMode="External" /><Relationship Id="rId43" Type="http://schemas.openxmlformats.org/officeDocument/2006/relationships/hyperlink" Target="mailto:confindustriapuglia@confindustriapuglia.it" TargetMode="External" /><Relationship Id="rId44" Type="http://schemas.openxmlformats.org/officeDocument/2006/relationships/hyperlink" Target="mailto:puglia@confcommercio.it" TargetMode="External" /><Relationship Id="rId45" Type="http://schemas.openxmlformats.org/officeDocument/2006/relationships/hyperlink" Target="mailto:ced@apaba.it" TargetMode="External" /><Relationship Id="rId46" Type="http://schemas.openxmlformats.org/officeDocument/2006/relationships/hyperlink" Target="mailto:robertopapadia@tiscali.it" TargetMode="External" /><Relationship Id="rId47" Type="http://schemas.openxmlformats.org/officeDocument/2006/relationships/hyperlink" Target="mailto:studiomilillo@libero.it" TargetMode="External" /><Relationship Id="rId48" Type="http://schemas.openxmlformats.org/officeDocument/2006/relationships/hyperlink" Target="mailto:manzariv@sudsistemi.it" TargetMode="External" /><Relationship Id="rId49" Type="http://schemas.openxmlformats.org/officeDocument/2006/relationships/hyperlink" Target="mailto:apimasalento@libero.it" TargetMode="External" /><Relationship Id="rId50" Type="http://schemas.openxmlformats.org/officeDocument/2006/relationships/hyperlink" Target="mailto:conf-puglia@flashnet.it" TargetMode="External" /><Relationship Id="rId51" Type="http://schemas.openxmlformats.org/officeDocument/2006/relationships/hyperlink" Target="mailto:targeda@libero.it" TargetMode="External" /><Relationship Id="rId52" Type="http://schemas.openxmlformats.org/officeDocument/2006/relationships/hyperlink" Target="mailto:puglia@cia.it" TargetMode="External" /><Relationship Id="rId53" Type="http://schemas.openxmlformats.org/officeDocument/2006/relationships/hyperlink" Target="mailto:info@pugliadoc.net" TargetMode="External" /><Relationship Id="rId54" Type="http://schemas.openxmlformats.org/officeDocument/2006/relationships/hyperlink" Target="mailto:info@ordinemedici-lecce.it" TargetMode="External" /><Relationship Id="rId55" Type="http://schemas.openxmlformats.org/officeDocument/2006/relationships/hyperlink" Target="mailto:federazioneingegneri@ingpuglia.it" TargetMode="External" /><Relationship Id="rId56" Type="http://schemas.openxmlformats.org/officeDocument/2006/relationships/hyperlink" Target="mailto:rmarazia@libero.it" TargetMode="External" /><Relationship Id="rId57" Type="http://schemas.openxmlformats.org/officeDocument/2006/relationships/hyperlink" Target="mailto:ancepgl@tin.it" TargetMode="External" /><Relationship Id="rId58" Type="http://schemas.openxmlformats.org/officeDocument/2006/relationships/hyperlink" Target="mailto:amoruso@danieleamoruso.it" TargetMode="External" /><Relationship Id="rId59" Type="http://schemas.openxmlformats.org/officeDocument/2006/relationships/hyperlink" Target="mailto:samy.dicomite@inwind.it" TargetMode="External" /><Relationship Id="rId60" Type="http://schemas.openxmlformats.org/officeDocument/2006/relationships/hyperlink" Target="mailto:confapipuglia@libero.it" TargetMode="External" /><Relationship Id="rId61" Type="http://schemas.openxmlformats.org/officeDocument/2006/relationships/hyperlink" Target="mailto:infobari@archiworld.it" TargetMode="External" /><Relationship Id="rId62" Type="http://schemas.openxmlformats.org/officeDocument/2006/relationships/hyperlink" Target="mailto:confartigianato.puglia@virgilio.it" TargetMode="External" /><Relationship Id="rId63" Type="http://schemas.openxmlformats.org/officeDocument/2006/relationships/hyperlink" Target="mailto:uncibari@libero.it" TargetMode="External" /><Relationship Id="rId64" Type="http://schemas.openxmlformats.org/officeDocument/2006/relationships/comments" Target="../comments3.xml" /><Relationship Id="rId65" Type="http://schemas.openxmlformats.org/officeDocument/2006/relationships/vmlDrawing" Target="../drawings/vmlDrawing2.vml" /><Relationship Id="rId6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workbookViewId="0" topLeftCell="D1">
      <selection activeCell="D9" sqref="D9"/>
    </sheetView>
  </sheetViews>
  <sheetFormatPr defaultColWidth="9.140625" defaultRowHeight="12.75"/>
  <cols>
    <col min="1" max="2" width="3.00390625" style="0" bestFit="1" customWidth="1"/>
    <col min="3" max="3" width="49.00390625" style="0" customWidth="1"/>
    <col min="4" max="4" width="27.421875" style="0" bestFit="1" customWidth="1"/>
    <col min="5" max="5" width="10.8515625" style="0" bestFit="1" customWidth="1"/>
    <col min="6" max="6" width="3.00390625" style="0" bestFit="1" customWidth="1"/>
    <col min="7" max="8" width="11.140625" style="0" bestFit="1" customWidth="1"/>
    <col min="9" max="9" width="2.57421875" style="0" customWidth="1"/>
    <col min="10" max="11" width="12.28125" style="0" customWidth="1"/>
    <col min="12" max="12" width="3.8515625" style="0" customWidth="1"/>
    <col min="13" max="14" width="12.28125" style="0" customWidth="1"/>
    <col min="15" max="15" width="7.57421875" style="1188" customWidth="1"/>
    <col min="16" max="16" width="3.00390625" style="1188" customWidth="1"/>
    <col min="17" max="17" width="12.57421875" style="0" customWidth="1"/>
    <col min="18" max="18" width="11.8515625" style="418" customWidth="1"/>
    <col min="19" max="19" width="11.7109375" style="418" customWidth="1"/>
  </cols>
  <sheetData>
    <row r="1" spans="1:19" ht="126.75" customHeight="1">
      <c r="A1" s="1184" t="s">
        <v>769</v>
      </c>
      <c r="B1" s="1185" t="s">
        <v>665</v>
      </c>
      <c r="C1" s="1186" t="s">
        <v>771</v>
      </c>
      <c r="D1" s="1186" t="s">
        <v>772</v>
      </c>
      <c r="E1" s="1091" t="s">
        <v>161</v>
      </c>
      <c r="F1" s="977" t="s">
        <v>774</v>
      </c>
      <c r="G1" s="1091" t="s">
        <v>162</v>
      </c>
      <c r="H1" s="1091" t="s">
        <v>1092</v>
      </c>
      <c r="J1" s="397" t="s">
        <v>128</v>
      </c>
      <c r="K1" s="397" t="s">
        <v>583</v>
      </c>
      <c r="L1" s="1091"/>
      <c r="M1" s="1091" t="s">
        <v>580</v>
      </c>
      <c r="N1" s="1091" t="s">
        <v>581</v>
      </c>
      <c r="O1" s="1187" t="s">
        <v>1482</v>
      </c>
      <c r="P1" s="1187"/>
      <c r="Q1" s="1091" t="s">
        <v>578</v>
      </c>
      <c r="R1" s="1091" t="s">
        <v>579</v>
      </c>
      <c r="S1" s="1091" t="s">
        <v>582</v>
      </c>
    </row>
    <row r="2" spans="1:18" ht="12.75">
      <c r="A2" s="421">
        <v>1</v>
      </c>
      <c r="B2" s="407">
        <v>3</v>
      </c>
      <c r="C2" s="631" t="s">
        <v>791</v>
      </c>
      <c r="D2" s="1079" t="s">
        <v>792</v>
      </c>
      <c r="E2" s="1176">
        <v>3846067.41</v>
      </c>
      <c r="F2" s="1178">
        <v>65</v>
      </c>
      <c r="G2" s="1173">
        <v>4455065.892</v>
      </c>
      <c r="H2" s="1173">
        <v>2500000</v>
      </c>
      <c r="J2" s="446">
        <f>+DATI!BY3+DATI!CL3+DATI!CY3+DATI!DL3+DATI!DY3+DATI!EL3+DATI!EY3+DATI!FL3+DATI!FY3+DATI!GL3+DATI2!BY3+DATI2!CL3+DATI2!CY3+DATI2!DL3+DATI2!DY3+DATI2!EL3</f>
        <v>3389695.782538462</v>
      </c>
      <c r="K2" s="446">
        <f>+DATI!BZ3+DATI!CM3+DATI!CZ3+DATI!DM3+DATI!DZ3+DATI!EM3+DATI!EZ3+DATI!FM3+DATI!FZ3+DATI!GM3+DATI2!BZ3+DATI2!CM3+DATI2!CZ3+DATI2!DM3+DATI2!DZ3+DATI2!EM3</f>
        <v>2203302.25865</v>
      </c>
      <c r="L2" s="446"/>
      <c r="M2" s="446">
        <v>3389695.782538462</v>
      </c>
      <c r="N2" s="446">
        <f>+M2*0.65</f>
        <v>2203302.25865</v>
      </c>
      <c r="O2" s="1189">
        <f>+N2/H2</f>
        <v>0.8813209034600001</v>
      </c>
      <c r="P2" s="1189"/>
      <c r="Q2" s="446">
        <f>+H2-N2</f>
        <v>296697.7413499998</v>
      </c>
      <c r="R2" s="446"/>
    </row>
    <row r="3" spans="1:17" ht="12.75">
      <c r="A3" s="421">
        <v>2</v>
      </c>
      <c r="B3" s="407">
        <v>4</v>
      </c>
      <c r="C3" s="631" t="s">
        <v>882</v>
      </c>
      <c r="D3" s="626" t="s">
        <v>525</v>
      </c>
      <c r="E3" s="1176">
        <v>1730560</v>
      </c>
      <c r="F3" s="1178">
        <v>65</v>
      </c>
      <c r="G3" s="1173">
        <v>1942600</v>
      </c>
      <c r="H3" s="1173">
        <v>1262690</v>
      </c>
      <c r="J3" s="446">
        <f>+DATI!BY4+DATI!CL4+DATI!CY4+DATI!DL4+DATI!DY4+DATI!EL4+DATI!EY4+DATI!FL4+DATI!FY4+DATI!GL4+DATI2!BY4+DATI2!CL4+DATI2!CY4+DATI2!DL4+DATI2!DY4+DATI2!EL4</f>
        <v>1794351.3765269788</v>
      </c>
      <c r="K3" s="446">
        <f>+DATI!BZ4+DATI!CM4+DATI!CZ4+DATI!DM4+DATI!DZ4+DATI!EM4+DATI!EZ4+DATI!FM4+DATI!FZ4+DATI!GM4+DATI2!BZ4+DATI2!CM4+DATI2!CZ4+DATI2!DM4+DATI2!DZ4+DATI2!EM4</f>
        <v>1166328.3947425364</v>
      </c>
      <c r="L3" s="446"/>
      <c r="M3" s="446">
        <v>1794351.3765269788</v>
      </c>
      <c r="N3" s="446">
        <v>1166328.3947425364</v>
      </c>
      <c r="O3" s="1189">
        <f aca="true" t="shared" si="0" ref="O3:O25">+N3/H3</f>
        <v>0.9236854609940178</v>
      </c>
      <c r="P3" s="1189"/>
      <c r="Q3" s="446">
        <f aca="true" t="shared" si="1" ref="Q3:Q25">+H3-N3</f>
        <v>96361.60525746364</v>
      </c>
    </row>
    <row r="4" spans="1:17" ht="12.75">
      <c r="A4" s="421">
        <v>3</v>
      </c>
      <c r="B4" s="407">
        <v>8</v>
      </c>
      <c r="C4" s="631" t="s">
        <v>857</v>
      </c>
      <c r="D4" s="1079" t="s">
        <v>858</v>
      </c>
      <c r="E4" s="1176">
        <v>2422000</v>
      </c>
      <c r="F4" s="1178">
        <v>64</v>
      </c>
      <c r="G4" s="1173">
        <v>2851600</v>
      </c>
      <c r="H4" s="1173">
        <v>1825024</v>
      </c>
      <c r="J4" s="446">
        <f>+DATI!BY5+DATI!CL5+DATI!CY5+DATI!DL5+DATI!DY5+DATI!EL5+DATI!EY5+DATI!FL5+DATI!FY5+DATI!GL5+DATI2!BY5+DATI2!CL5+DATI2!CY5+DATI2!DL5+DATI2!DY5+DATI2!EL5</f>
        <v>2794231.978</v>
      </c>
      <c r="K4" s="446">
        <f>+DATI!BZ5+DATI!CM5+DATI!CZ5+DATI!DM5+DATI!DZ5+DATI!EM5+DATI!EZ5+DATI!FM5+DATI!FZ5+DATI!GM5+DATI2!BZ5+DATI2!CM5+DATI2!CZ5+DATI2!DM5+DATI2!DZ5+DATI2!EM5</f>
        <v>1816250.7834</v>
      </c>
      <c r="L4" s="446"/>
      <c r="M4" s="446">
        <v>2794231.978</v>
      </c>
      <c r="N4" s="446">
        <v>1816250.7834</v>
      </c>
      <c r="O4" s="1189">
        <f t="shared" si="0"/>
        <v>0.9951928212450906</v>
      </c>
      <c r="P4" s="1189"/>
      <c r="Q4" s="446">
        <f t="shared" si="1"/>
        <v>8773.216599999927</v>
      </c>
    </row>
    <row r="5" spans="1:17" ht="12.75">
      <c r="A5" s="421">
        <v>4</v>
      </c>
      <c r="B5" s="407">
        <v>9</v>
      </c>
      <c r="C5" s="631" t="s">
        <v>864</v>
      </c>
      <c r="D5" s="1079" t="s">
        <v>865</v>
      </c>
      <c r="E5" s="1176">
        <v>1757072</v>
      </c>
      <c r="F5" s="1178">
        <v>65</v>
      </c>
      <c r="G5" s="1173">
        <v>2009142.4</v>
      </c>
      <c r="H5" s="1173">
        <v>1305942.56</v>
      </c>
      <c r="J5" s="446">
        <f>+DATI!BY6+DATI!CL6+DATI!CY6+DATI!DL6+DATI!DY6+DATI!EL6+DATI!EY6+DATI!FL6+DATI!FY6+DATI!GL6+DATI2!BY6+DATI2!CL6+DATI2!CY6+DATI2!DL6+DATI2!DY6+DATI2!EL6</f>
        <v>1527481.3599999999</v>
      </c>
      <c r="K5" s="446">
        <f>+DATI!BZ6+DATI!CM6+DATI!CZ6+DATI!DM6+DATI!DZ6+DATI!EM6+DATI!EZ6+DATI!FM6+DATI!FZ6+DATI!GM6+DATI2!BZ6+DATI2!CM6+DATI2!CZ6+DATI2!DM6+DATI2!DZ6+DATI2!EM6</f>
        <v>992862.894</v>
      </c>
      <c r="L5" s="446"/>
      <c r="M5" s="446">
        <v>1527481.36</v>
      </c>
      <c r="N5" s="446">
        <v>992862.894</v>
      </c>
      <c r="O5" s="1189">
        <f t="shared" si="0"/>
        <v>0.7602653626664866</v>
      </c>
      <c r="P5" s="1189"/>
      <c r="Q5" s="446">
        <f t="shared" si="1"/>
        <v>313079.6660000001</v>
      </c>
    </row>
    <row r="6" spans="1:17" ht="12.75">
      <c r="A6" s="421">
        <v>5</v>
      </c>
      <c r="B6" s="407">
        <v>10</v>
      </c>
      <c r="C6" s="631" t="s">
        <v>851</v>
      </c>
      <c r="D6" s="1079" t="s">
        <v>852</v>
      </c>
      <c r="E6" s="1176">
        <v>719530</v>
      </c>
      <c r="F6" s="624">
        <v>65</v>
      </c>
      <c r="G6" s="1173">
        <v>863436</v>
      </c>
      <c r="H6" s="1173">
        <v>561233.4</v>
      </c>
      <c r="J6" s="446">
        <f>+DATI!BY7+DATI!CL7+DATI!CY7+DATI!DL7+DATI!DY7+DATI!EL7+DATI!EY7+DATI!FL7+DATI!FY7+DATI!GL7+DATI2!BY7+DATI2!CL7+DATI2!CY7+DATI2!DL7+DATI2!DY7+DATI2!EL7</f>
        <v>663810.41</v>
      </c>
      <c r="K6" s="446">
        <f>+DATI!BZ7+DATI!CM7+DATI!CZ7+DATI!DM7+DATI!DZ7+DATI!EM7+DATI!EZ7+DATI!FM7+DATI!FZ7+DATI!GM7+DATI2!BZ7+DATI2!CM7+DATI2!CZ7+DATI2!DM7+DATI2!DZ7+DATI2!EM7</f>
        <v>431476.7665</v>
      </c>
      <c r="L6" s="446"/>
      <c r="M6" s="446">
        <v>663810.41</v>
      </c>
      <c r="N6" s="446">
        <v>431476.7665</v>
      </c>
      <c r="O6" s="1189">
        <f t="shared" si="0"/>
        <v>0.7688009418185019</v>
      </c>
      <c r="P6" s="1189"/>
      <c r="Q6" s="446">
        <f t="shared" si="1"/>
        <v>129756.6335</v>
      </c>
    </row>
    <row r="7" spans="1:18" ht="12.75">
      <c r="A7" s="421">
        <v>6</v>
      </c>
      <c r="B7" s="407">
        <v>12</v>
      </c>
      <c r="C7" s="631" t="s">
        <v>907</v>
      </c>
      <c r="D7" s="626" t="s">
        <v>908</v>
      </c>
      <c r="E7" s="1176">
        <v>264052.5</v>
      </c>
      <c r="F7" s="1178">
        <v>50</v>
      </c>
      <c r="G7" s="1173">
        <v>305344</v>
      </c>
      <c r="H7" s="1173">
        <v>152672</v>
      </c>
      <c r="J7" s="446">
        <f>+DATI!BY8+DATI!CL8+DATI!CY8+DATI!DL8+DATI!DY8+DATI!EL8+DATI!EY8+DATI!FL8+DATI!FY8+DATI!GL8+DATI2!BY8+DATI2!CL8+DATI2!CY8+DATI2!DL8+DATI2!DY8+DATI2!EL8</f>
        <v>230472.995</v>
      </c>
      <c r="K7" s="446">
        <f>+DATI!BZ8+DATI!CM8+DATI!CZ8+DATI!DM8+DATI!DZ8+DATI!EM8+DATI!EZ8+DATI!FM8+DATI!FZ8+DATI!GM8+DATI2!BZ8+DATI2!CM8+DATI2!CZ8+DATI2!DM8+DATI2!DZ8+DATI2!EM8</f>
        <v>115236.4975</v>
      </c>
      <c r="L7" s="446"/>
      <c r="M7" s="446">
        <v>230472.995</v>
      </c>
      <c r="N7" s="446">
        <v>115236.4975</v>
      </c>
      <c r="O7" s="1189">
        <f t="shared" si="0"/>
        <v>0.7547978509484384</v>
      </c>
      <c r="P7" s="1189"/>
      <c r="Q7" s="446">
        <f t="shared" si="1"/>
        <v>37435.5025</v>
      </c>
      <c r="R7" s="446">
        <f>+Q7-DATI2!FF8</f>
        <v>2506.657500000001</v>
      </c>
    </row>
    <row r="8" spans="1:18" ht="22.5" customHeight="1">
      <c r="A8" s="738">
        <v>7</v>
      </c>
      <c r="B8" s="739">
        <v>14</v>
      </c>
      <c r="C8" s="631" t="s">
        <v>869</v>
      </c>
      <c r="D8" s="1079" t="s">
        <v>483</v>
      </c>
      <c r="E8" s="1176">
        <v>3538950</v>
      </c>
      <c r="F8" s="1178">
        <v>65</v>
      </c>
      <c r="G8" s="1173">
        <v>4066340</v>
      </c>
      <c r="H8" s="1173">
        <v>2500000</v>
      </c>
      <c r="J8" s="446">
        <f>+DATI!BY9+DATI!CL9+DATI!CY9+DATI!DL9+DATI!DY9+DATI!EL9+DATI!EY9+DATI!FL9+DATI!FY9+DATI!GL9+DATI2!BY9+DATI2!CL9+DATI2!CY9+DATI2!DL9+DATI2!DY9+DATI2!EL9</f>
        <v>3757071.3642448713</v>
      </c>
      <c r="K8" s="446">
        <f>+DATI!BZ9+DATI!CM9+DATI!CZ9+DATI!DM9+DATI!DZ9+DATI!EM9+DATI!EZ9+DATI!FM9+DATI!FZ9+DATI!GM9+DATI2!BZ9+DATI2!CM9+DATI2!CZ9+DATI2!DM9+DATI2!DZ9+DATI2!EM9</f>
        <v>2442096.3867591666</v>
      </c>
      <c r="L8" s="446"/>
      <c r="M8" s="446">
        <v>3757071.3642448713</v>
      </c>
      <c r="N8" s="446">
        <v>2442096.3867591666</v>
      </c>
      <c r="O8" s="1189">
        <f t="shared" si="0"/>
        <v>0.9768385547036667</v>
      </c>
      <c r="P8" s="1189"/>
      <c r="Q8" s="446">
        <f t="shared" si="1"/>
        <v>57903.613240833394</v>
      </c>
      <c r="R8" s="446">
        <f>+Q8</f>
        <v>57903.613240833394</v>
      </c>
    </row>
    <row r="9" spans="1:18" ht="12.75">
      <c r="A9" s="421">
        <v>8</v>
      </c>
      <c r="B9" s="407">
        <v>15</v>
      </c>
      <c r="C9" s="631" t="s">
        <v>1142</v>
      </c>
      <c r="D9" s="1079" t="s">
        <v>878</v>
      </c>
      <c r="E9" s="1176">
        <v>996480</v>
      </c>
      <c r="F9" s="1178">
        <v>65</v>
      </c>
      <c r="G9" s="1173">
        <v>1159344</v>
      </c>
      <c r="H9" s="1173">
        <v>753573.6</v>
      </c>
      <c r="J9" s="446">
        <f>+DATI!BY10+DATI!CL10+DATI!CY10+DATI!DL10+DATI!DY10+DATI!EL10+DATI!EY10+DATI!FL10+DATI!FY10+DATI!GL10+DATI2!BY10+DATI2!CL10+DATI2!CY10+DATI2!DL10+DATI2!DY10+DATI2!EL10</f>
        <v>1159059.923076923</v>
      </c>
      <c r="K9" s="446">
        <f>+DATI!BZ10+DATI!CM10+DATI!CZ10+DATI!DM10+DATI!DZ10+DATI!EM10+DATI!EZ10+DATI!FM10+DATI!FZ10+DATI!GM10+DATI2!BZ10+DATI2!CM10+DATI2!CZ10+DATI2!DM10+DATI2!DZ10+DATI2!EM10</f>
        <v>753388.9500000001</v>
      </c>
      <c r="L9" s="446"/>
      <c r="M9" s="446">
        <v>1159059.923076923</v>
      </c>
      <c r="N9" s="446">
        <v>753388.95</v>
      </c>
      <c r="O9" s="1189">
        <f t="shared" si="0"/>
        <v>0.9997549675307097</v>
      </c>
      <c r="P9" s="1189"/>
      <c r="Q9" s="446">
        <f t="shared" si="1"/>
        <v>184.65000000002328</v>
      </c>
      <c r="R9" s="446">
        <f>+Q9</f>
        <v>184.65000000002328</v>
      </c>
    </row>
    <row r="10" spans="1:20" ht="21" customHeight="1">
      <c r="A10" s="421">
        <v>9</v>
      </c>
      <c r="B10" s="407">
        <v>25</v>
      </c>
      <c r="C10" s="631" t="s">
        <v>834</v>
      </c>
      <c r="D10" s="1079" t="s">
        <v>835</v>
      </c>
      <c r="E10" s="1176">
        <v>2074479</v>
      </c>
      <c r="F10" s="1178">
        <v>65</v>
      </c>
      <c r="G10" s="1335">
        <v>2261279</v>
      </c>
      <c r="H10" s="1335">
        <v>1469831.35</v>
      </c>
      <c r="I10" s="1135"/>
      <c r="J10" s="1336">
        <f>+DATI!BY11+DATI!CL11+DATI!CY11+DATI!DL11+DATI!DY11+DATI!EL11+DATI!EY11+DATI!FL11+DATI!FY11+DATI!GL11+DATI2!BY11+DATI2!CL11+DATI2!CY11+DATI2!DL11+DATI2!DY11+DATI2!EL11</f>
        <v>2041154.53878</v>
      </c>
      <c r="K10" s="1336">
        <f>+DATI!BZ11+DATI!CM11+DATI!CZ11+DATI!DM11+DATI!DZ11+DATI!EM11+DATI!EZ11+DATI!FM11+DATI!FZ11+DATI!GM11+DATI2!BZ11+DATI2!CM11+DATI2!CZ11+DATI2!DM11+DATI2!DZ11+DATI2!EM11</f>
        <v>1326750.450207</v>
      </c>
      <c r="L10" s="1336"/>
      <c r="M10" s="1336">
        <v>2176010.85</v>
      </c>
      <c r="N10" s="1336">
        <f>+M10*0.65</f>
        <v>1414407.0525000002</v>
      </c>
      <c r="O10" s="1337">
        <f t="shared" si="0"/>
        <v>0.9622920701072271</v>
      </c>
      <c r="P10" s="1337"/>
      <c r="Q10" s="1336">
        <f t="shared" si="1"/>
        <v>55424.29749999987</v>
      </c>
      <c r="R10" s="446">
        <f>+Q10</f>
        <v>55424.29749999987</v>
      </c>
      <c r="S10" s="1338" t="s">
        <v>384</v>
      </c>
      <c r="T10" s="418" t="s">
        <v>383</v>
      </c>
    </row>
    <row r="11" spans="1:17" ht="12.75">
      <c r="A11" s="421">
        <v>10</v>
      </c>
      <c r="B11" s="407">
        <v>26</v>
      </c>
      <c r="C11" s="631" t="s">
        <v>890</v>
      </c>
      <c r="D11" s="1079" t="s">
        <v>891</v>
      </c>
      <c r="E11" s="1176">
        <v>733650</v>
      </c>
      <c r="F11" s="1178">
        <v>65</v>
      </c>
      <c r="G11" s="1173">
        <v>814780</v>
      </c>
      <c r="H11" s="1173">
        <v>529607</v>
      </c>
      <c r="J11" s="446">
        <f>+DATI!BY12+DATI!CL12+DATI!CY12+DATI!DL12+DATI!DY12+DATI!EL12+DATI!EY12+DATI!FL12+DATI!FY12+DATI!GL12+DATI2!BY12+DATI2!CL12+DATI2!CY12+DATI2!DL12+DATI2!DY12+DATI2!EL12</f>
        <v>741849.4280000001</v>
      </c>
      <c r="K11" s="446">
        <f>+DATI!BZ12+DATI!CM12+DATI!CZ12+DATI!DM12+DATI!DZ12+DATI!EM12+DATI!EZ12+DATI!FM12+DATI!FZ12+DATI!GM12+DATI2!BZ12+DATI2!CM12+DATI2!CZ12+DATI2!DM12+DATI2!DZ12+DATI2!EM12</f>
        <v>482202.12820000004</v>
      </c>
      <c r="L11" s="446"/>
      <c r="M11" s="446">
        <v>741849.4280000001</v>
      </c>
      <c r="N11" s="446">
        <v>482202.12820000004</v>
      </c>
      <c r="O11" s="1189">
        <f t="shared" si="0"/>
        <v>0.9104904735020497</v>
      </c>
      <c r="P11" s="1189"/>
      <c r="Q11" s="446">
        <f t="shared" si="1"/>
        <v>47404.871799999964</v>
      </c>
    </row>
    <row r="12" spans="1:17" ht="12.75">
      <c r="A12" s="421">
        <v>11</v>
      </c>
      <c r="B12" s="407">
        <v>27</v>
      </c>
      <c r="C12" s="631" t="s">
        <v>1096</v>
      </c>
      <c r="D12" s="1079" t="s">
        <v>855</v>
      </c>
      <c r="E12" s="1176">
        <v>793500</v>
      </c>
      <c r="F12" s="1178">
        <v>50</v>
      </c>
      <c r="G12" s="1173">
        <v>927500</v>
      </c>
      <c r="H12" s="1173">
        <v>463750</v>
      </c>
      <c r="J12" s="446">
        <f>+DATI!BY13+DATI!CL13+DATI!CY13+DATI!DL13+DATI!DY13+DATI!EL13+DATI!EY13+DATI!FL13+DATI!FY13+DATI!GL13+DATI2!BY13+DATI2!CL13+DATI2!CY13+DATI2!DL13+DATI2!DY13+DATI2!EL13</f>
        <v>815900.88</v>
      </c>
      <c r="K12" s="446">
        <f>+DATI!BZ13+DATI!CM13+DATI!CZ13+DATI!DM13+DATI!DZ13+DATI!EM13+DATI!EZ13+DATI!FM13+DATI!FZ13+DATI!GM13+DATI2!BZ13+DATI2!CM13+DATI2!CZ13+DATI2!DM13+DATI2!DZ13+DATI2!EM13</f>
        <v>407950.44</v>
      </c>
      <c r="L12" s="446"/>
      <c r="M12" s="446">
        <v>815900.88</v>
      </c>
      <c r="N12" s="446">
        <v>407950.44</v>
      </c>
      <c r="O12" s="1189">
        <f t="shared" si="0"/>
        <v>0.8796774986522911</v>
      </c>
      <c r="P12" s="1189"/>
      <c r="Q12" s="446">
        <f t="shared" si="1"/>
        <v>55799.56</v>
      </c>
    </row>
    <row r="13" spans="1:17" ht="12.75">
      <c r="A13" s="405">
        <v>12</v>
      </c>
      <c r="B13" s="407">
        <v>28</v>
      </c>
      <c r="C13" s="631" t="s">
        <v>826</v>
      </c>
      <c r="D13" s="1180" t="s">
        <v>747</v>
      </c>
      <c r="E13" s="1176">
        <v>3842070</v>
      </c>
      <c r="F13" s="1178">
        <v>65</v>
      </c>
      <c r="G13" s="1173">
        <v>4072757.4</v>
      </c>
      <c r="H13" s="1173">
        <v>2500000</v>
      </c>
      <c r="J13" s="446">
        <f>+DATI!BY14+DATI!CL14+DATI!CY14+DATI!DL14+DATI!DY14+DATI!EL14+DATI!EY14+DATI!FL14+DATI!FY14+DATI!GL14+DATI2!BY14+DATI2!CL14+DATI2!CY14+DATI2!DL14+DATI2!DY14+DATI2!EL14</f>
        <v>3846153.8528083325</v>
      </c>
      <c r="K13" s="446">
        <f>+DATI!BZ14+DATI!CM14+DATI!CZ14+DATI!DM14+DATI!DZ14+DATI!EM14+DATI!EZ14+DATI!FM14+DATI!FZ14+DATI!GM14+DATI2!BZ14+DATI2!CM14+DATI2!CZ14+DATI2!DM14+DATI2!DZ14+DATI2!EM14</f>
        <v>2500000.0043254164</v>
      </c>
      <c r="L13" s="446"/>
      <c r="M13" s="446">
        <v>3846153.8528083325</v>
      </c>
      <c r="N13" s="446">
        <v>2500000.0043254164</v>
      </c>
      <c r="O13" s="1189">
        <f t="shared" si="0"/>
        <v>1.0000000017301665</v>
      </c>
      <c r="P13" s="1189"/>
      <c r="Q13" s="446">
        <f t="shared" si="1"/>
        <v>-0.004325416404753923</v>
      </c>
    </row>
    <row r="14" spans="1:17" ht="12.75">
      <c r="A14" s="421">
        <v>13</v>
      </c>
      <c r="B14" s="407">
        <v>29</v>
      </c>
      <c r="C14" s="631" t="s">
        <v>290</v>
      </c>
      <c r="D14" s="1079" t="s">
        <v>748</v>
      </c>
      <c r="E14" s="1176">
        <v>1878269</v>
      </c>
      <c r="F14" s="1178">
        <v>65</v>
      </c>
      <c r="G14" s="1173">
        <v>2240428.8</v>
      </c>
      <c r="H14" s="1173">
        <v>1456278.72</v>
      </c>
      <c r="J14" s="446">
        <f>+DATI!BY15+DATI!CL15+DATI!CY15+DATI!DL15+DATI!DY15+DATI!EL15+DATI!EY15+DATI!FL15+DATI!FY15+DATI!GL15+DATI2!BY15+DATI2!CL15+DATI2!CY15+DATI2!DL15+DATI2!DY15+DATI2!EL15</f>
        <v>1649169.42</v>
      </c>
      <c r="K14" s="446">
        <f>+DATI!BZ15+DATI!CM15+DATI!CZ15+DATI!DM15+DATI!DZ15+DATI!EM15+DATI!EZ15+DATI!FM15+DATI!FZ15+DATI!GM15+DATI2!BZ15+DATI2!CM15+DATI2!CZ15+DATI2!DM15+DATI2!DZ15+DATI2!EM15</f>
        <v>1071960.121</v>
      </c>
      <c r="L14" s="446"/>
      <c r="M14" s="446">
        <v>1649169.42</v>
      </c>
      <c r="N14" s="446">
        <v>1071960.121</v>
      </c>
      <c r="O14" s="1189">
        <f t="shared" si="0"/>
        <v>0.7360954371426921</v>
      </c>
      <c r="P14" s="1189"/>
      <c r="Q14" s="446">
        <f t="shared" si="1"/>
        <v>384318.59899999993</v>
      </c>
    </row>
    <row r="15" spans="1:17" ht="12.75">
      <c r="A15" s="421">
        <v>14</v>
      </c>
      <c r="B15" s="433">
        <v>30</v>
      </c>
      <c r="C15" s="1181" t="s">
        <v>1105</v>
      </c>
      <c r="D15" s="1182" t="s">
        <v>900</v>
      </c>
      <c r="E15" s="1177">
        <v>2136920</v>
      </c>
      <c r="F15" s="1179">
        <v>65</v>
      </c>
      <c r="G15" s="1173">
        <v>2500230.8</v>
      </c>
      <c r="H15" s="1173">
        <v>1625150.02</v>
      </c>
      <c r="J15" s="446">
        <f>+DATI!BY16+DATI!CL16+DATI!CY16+DATI!DL16+DATI!DY16+DATI!EL16+DATI!EY16+DATI!FL16+DATI!FY16+DATI!GL16+DATI2!BY16+DATI2!CL16+DATI2!CY16+DATI2!DL16+DATI2!DY16+DATI2!EL16</f>
        <v>2500230.7920000004</v>
      </c>
      <c r="K15" s="446">
        <f>+DATI!BZ16+DATI!CM16+DATI!CZ16+DATI!DM16+DATI!DZ16+DATI!EM16+DATI!EZ16+DATI!FM16+DATI!FZ16+DATI!GM16+DATI2!BZ16+DATI2!CM16+DATI2!CZ16+DATI2!DM16+DATI2!DZ16+DATI2!EM16</f>
        <v>1625150.0148</v>
      </c>
      <c r="L15" s="446"/>
      <c r="M15" s="446">
        <v>2500230.7920000004</v>
      </c>
      <c r="N15" s="446">
        <v>1625150.0148</v>
      </c>
      <c r="O15" s="1189">
        <f t="shared" si="0"/>
        <v>0.9999999968002954</v>
      </c>
      <c r="P15" s="1189"/>
      <c r="Q15" s="446">
        <f t="shared" si="1"/>
        <v>0.005200000014156103</v>
      </c>
    </row>
    <row r="16" spans="1:17" ht="12.75">
      <c r="A16" s="421">
        <v>15</v>
      </c>
      <c r="B16" s="433">
        <v>31</v>
      </c>
      <c r="C16" s="1181" t="s">
        <v>884</v>
      </c>
      <c r="D16" s="1182" t="s">
        <v>1193</v>
      </c>
      <c r="E16" s="1177">
        <v>438880</v>
      </c>
      <c r="F16" s="1179">
        <v>65</v>
      </c>
      <c r="G16" s="1173">
        <v>512256</v>
      </c>
      <c r="H16" s="1173">
        <v>332966.4</v>
      </c>
      <c r="J16" s="446">
        <f>+DATI!BY17+DATI!CL17+DATI!CY17+DATI!DL17+DATI!DY17+DATI!EL17+DATI!EY17+DATI!FL17+DATI!FY17+DATI!GL17+DATI2!BY17+DATI2!CL17+DATI2!CY17+DATI2!DL17+DATI2!DY17+DATI2!EL17</f>
        <v>504483.11900000006</v>
      </c>
      <c r="K16" s="446">
        <f>+DATI!BZ17+DATI!CM17+DATI!CZ17+DATI!DM17+DATI!DZ17+DATI!EM17+DATI!EZ17+DATI!FM17+DATI!FZ17+DATI!GM17+DATI2!BZ17+DATI2!CM17+DATI2!CZ17+DATI2!DM17+DATI2!DZ17+DATI2!EM17</f>
        <v>327914.02735</v>
      </c>
      <c r="L16" s="446"/>
      <c r="M16" s="446">
        <v>504483.11900000006</v>
      </c>
      <c r="N16" s="446">
        <v>327914.02735</v>
      </c>
      <c r="O16" s="1189">
        <f t="shared" si="0"/>
        <v>0.9848261787075211</v>
      </c>
      <c r="P16" s="1189"/>
      <c r="Q16" s="446">
        <f t="shared" si="1"/>
        <v>5052.372650000034</v>
      </c>
    </row>
    <row r="17" spans="1:17" ht="12.75">
      <c r="A17" s="1192">
        <v>16</v>
      </c>
      <c r="B17" s="1193">
        <v>32</v>
      </c>
      <c r="C17" s="1194" t="s">
        <v>388</v>
      </c>
      <c r="D17" s="1202" t="s">
        <v>749</v>
      </c>
      <c r="E17" s="1196">
        <v>934200</v>
      </c>
      <c r="F17" s="1197">
        <v>65</v>
      </c>
      <c r="G17" s="1198">
        <v>1013940</v>
      </c>
      <c r="H17" s="1198">
        <v>659061</v>
      </c>
      <c r="I17" s="1199"/>
      <c r="J17" s="1200">
        <f>+DATI!BY18+DATI!CL18+DATI!CY18+DATI!DL18+DATI!DY18+DATI!EL18+DATI!EY18+DATI!FL18+DATI!FY18+DATI!GL18+DATI2!BY18+DATI2!CL18+DATI2!CY18+DATI2!DL18+DATI2!DY18+DATI2!EL18</f>
        <v>579964.88</v>
      </c>
      <c r="K17" s="1200">
        <f>+DATI!BZ18+DATI!CM18+DATI!CZ18+DATI!DM18+DATI!DZ18+DATI!EM18+DATI!EZ18+DATI!FM18+DATI!FZ18+DATI!GM18+DATI2!BZ18+DATI2!CM18+DATI2!CZ18+DATI2!DM18+DATI2!DZ18+DATI2!EM18</f>
        <v>376977.172</v>
      </c>
      <c r="L17" s="1200"/>
      <c r="M17" s="1200">
        <v>579964.88</v>
      </c>
      <c r="N17" s="1200">
        <v>376977.172</v>
      </c>
      <c r="O17" s="1201">
        <f t="shared" si="0"/>
        <v>0.5719913209854627</v>
      </c>
      <c r="P17" s="1201"/>
      <c r="Q17" s="1200">
        <f t="shared" si="1"/>
        <v>282083.828</v>
      </c>
    </row>
    <row r="18" spans="1:17" ht="22.5">
      <c r="A18" s="421">
        <v>17</v>
      </c>
      <c r="B18" s="407">
        <v>34</v>
      </c>
      <c r="C18" s="631" t="s">
        <v>816</v>
      </c>
      <c r="D18" s="1079" t="s">
        <v>750</v>
      </c>
      <c r="E18" s="1176">
        <v>2584036</v>
      </c>
      <c r="F18" s="1178">
        <v>65</v>
      </c>
      <c r="G18" s="1173">
        <v>2821579.2</v>
      </c>
      <c r="H18" s="1173">
        <v>1834026.48</v>
      </c>
      <c r="J18" s="446">
        <f>+DATI!BY19+DATI!CL19+DATI!CY19+DATI!DL19+DATI!DY19+DATI!EL19+DATI!EY19+DATI!FL19+DATI!FY19+DATI!GL19+DATI2!BY19+DATI2!CL19+DATI2!CY19+DATI2!DL19+DATI2!DY19+DATI2!EL19</f>
        <v>2810175.740909091</v>
      </c>
      <c r="K18" s="446">
        <f>+DATI!BZ19+DATI!CM19+DATI!CZ19+DATI!DM19+DATI!DZ19+DATI!EM19+DATI!EZ19+DATI!FM19+DATI!FZ19+DATI!GM19+DATI2!BZ19+DATI2!CM19+DATI2!CZ19+DATI2!DM19+DATI2!DZ19+DATI2!EM19</f>
        <v>1826614.2315909092</v>
      </c>
      <c r="L18" s="446"/>
      <c r="M18" s="446">
        <v>2810175.740909091</v>
      </c>
      <c r="N18" s="446">
        <v>1826614.2315909092</v>
      </c>
      <c r="O18" s="1189">
        <f t="shared" si="0"/>
        <v>0.9959584834298081</v>
      </c>
      <c r="P18" s="1189"/>
      <c r="Q18" s="446">
        <f t="shared" si="1"/>
        <v>7412.2484090907965</v>
      </c>
    </row>
    <row r="19" spans="1:18" ht="12.75">
      <c r="A19" s="421">
        <v>18</v>
      </c>
      <c r="B19" s="407">
        <v>39</v>
      </c>
      <c r="C19" s="631" t="s">
        <v>847</v>
      </c>
      <c r="D19" s="1079" t="s">
        <v>751</v>
      </c>
      <c r="E19" s="1176">
        <v>659925</v>
      </c>
      <c r="F19" s="1178">
        <v>65</v>
      </c>
      <c r="G19" s="1173">
        <v>747610</v>
      </c>
      <c r="H19" s="1173">
        <v>485946.5</v>
      </c>
      <c r="J19" s="446">
        <f>+DATI!BY20+DATI!CL20+DATI!CY20+DATI!DL20+DATI!DY20+DATI!EL20+DATI!EY20+DATI!FL20+DATI!FY20+DATI!GL20+DATI2!BY20+DATI2!CL20+DATI2!CY20+DATI2!DL20+DATI2!DY20+DATI2!EL20</f>
        <v>696187.1</v>
      </c>
      <c r="K19" s="446">
        <f>+DATI!BZ20+DATI!CM20+DATI!CZ20+DATI!DM20+DATI!DZ20+DATI!EM20+DATI!EZ20+DATI!FM20+DATI!FZ20+DATI!GM20+DATI2!BZ20+DATI2!CM20+DATI2!CZ20+DATI2!DM20+DATI2!DZ20+DATI2!EM20</f>
        <v>457291.718</v>
      </c>
      <c r="L19" s="446"/>
      <c r="M19" s="446">
        <v>696187.1</v>
      </c>
      <c r="N19" s="446">
        <v>452521.61</v>
      </c>
      <c r="O19" s="1189">
        <f t="shared" si="0"/>
        <v>0.931216934374463</v>
      </c>
      <c r="P19" s="1189"/>
      <c r="Q19" s="446">
        <f t="shared" si="1"/>
        <v>33424.890000000014</v>
      </c>
      <c r="R19" s="446"/>
    </row>
    <row r="20" spans="1:19" ht="22.5">
      <c r="A20" s="421">
        <v>19</v>
      </c>
      <c r="B20" s="407">
        <v>41</v>
      </c>
      <c r="C20" s="631" t="s">
        <v>808</v>
      </c>
      <c r="D20" s="1079" t="s">
        <v>752</v>
      </c>
      <c r="E20" s="1176">
        <v>1500000</v>
      </c>
      <c r="F20" s="1178">
        <v>50</v>
      </c>
      <c r="G20" s="1173">
        <v>1617000</v>
      </c>
      <c r="H20" s="1173">
        <v>808500</v>
      </c>
      <c r="J20" s="446">
        <f>+DATI!BY21+DATI!CL21+DATI!CY21+DATI!DL21+DATI!DY21+DATI!EL21+DATI!EY21+DATI!FL21+DATI!FY21+DATI!GL21+DATI2!BY21+DATI2!CL21+DATI2!CY21+DATI2!DL21+DATI2!DY21+DATI2!EL21</f>
        <v>1181533.25</v>
      </c>
      <c r="K20" s="446">
        <f>+DATI!BZ21+DATI!CM21+DATI!CZ21+DATI!DM21+DATI!DZ21+DATI!EM21+DATI!EZ21+DATI!FM21+DATI!FZ21+DATI!GM21+DATI2!BZ21+DATI2!CM21+DATI2!CZ21+DATI2!DM21+DATI2!DZ21+DATI2!EM21</f>
        <v>590766.625</v>
      </c>
      <c r="L20" s="446"/>
      <c r="M20" s="446">
        <v>1026879.43</v>
      </c>
      <c r="N20" s="446">
        <f>+M20*50%</f>
        <v>513439.715</v>
      </c>
      <c r="O20" s="1189">
        <f t="shared" si="0"/>
        <v>0.6350522139764997</v>
      </c>
      <c r="P20" s="1189"/>
      <c r="Q20" s="446">
        <f t="shared" si="1"/>
        <v>295060.285</v>
      </c>
      <c r="R20" s="446">
        <f>+Q20</f>
        <v>295060.285</v>
      </c>
      <c r="S20" s="446">
        <f>+K20-N20</f>
        <v>77326.90999999997</v>
      </c>
    </row>
    <row r="21" spans="1:17" ht="12.75">
      <c r="A21" s="1192">
        <v>20</v>
      </c>
      <c r="B21" s="1193">
        <v>44</v>
      </c>
      <c r="C21" s="1194" t="s">
        <v>370</v>
      </c>
      <c r="D21" s="1195" t="s">
        <v>801</v>
      </c>
      <c r="E21" s="1196">
        <v>3563800</v>
      </c>
      <c r="F21" s="1197">
        <v>65</v>
      </c>
      <c r="G21" s="1198">
        <v>3810100</v>
      </c>
      <c r="H21" s="1198">
        <v>2476565</v>
      </c>
      <c r="I21" s="1199"/>
      <c r="J21" s="1200">
        <f>+DATI!BY22+DATI!CL22+DATI!CY22+DATI!DL22+DATI!DY22+DATI!EL22+DATI!EY22+DATI!FL22+DATI!FY22+DATI!GL22+DATI2!BY22+DATI2!CL22+DATI2!CY22+DATI2!DL22+DATI2!DY22+DATI2!EL22</f>
        <v>3070943.5326305344</v>
      </c>
      <c r="K21" s="1200">
        <f>+DATI!BZ22+DATI!CM22+DATI!CZ22+DATI!DM22+DATI!DZ22+DATI!EM22+DATI!EZ22+DATI!FM22+DATI!FZ22+DATI!GM22+DATI2!BZ22+DATI2!CM22+DATI2!CZ22+DATI2!DM22+DATI2!DZ22+DATI2!EM22</f>
        <v>1996113.296209847</v>
      </c>
      <c r="L21" s="1200"/>
      <c r="M21" s="1200">
        <v>3070943.5326305344</v>
      </c>
      <c r="N21" s="1200">
        <v>1996113.296209847</v>
      </c>
      <c r="O21" s="1201">
        <f t="shared" si="0"/>
        <v>0.8060007696990982</v>
      </c>
      <c r="P21" s="1201"/>
      <c r="Q21" s="1200">
        <f t="shared" si="1"/>
        <v>480451.7037901529</v>
      </c>
    </row>
    <row r="22" spans="1:18" ht="12.75">
      <c r="A22" s="421">
        <v>21</v>
      </c>
      <c r="B22" s="433">
        <v>45</v>
      </c>
      <c r="C22" s="1181" t="s">
        <v>829</v>
      </c>
      <c r="D22" s="1182" t="s">
        <v>830</v>
      </c>
      <c r="E22" s="1177">
        <v>498707</v>
      </c>
      <c r="F22" s="1179">
        <v>65</v>
      </c>
      <c r="G22" s="1173">
        <v>588768.4</v>
      </c>
      <c r="H22" s="1173">
        <v>382699.46</v>
      </c>
      <c r="J22" s="446">
        <f>+DATI!BY23+DATI!CL23+DATI!CY23+DATI!DL23+DATI!DY23+DATI!EL23+DATI!EY23+DATI!FL23+DATI!FY23+DATI!GL23+DATI2!BY23+DATI2!CL23+DATI2!CY23+DATI2!DL23+DATI2!DY23+DATI2!EL23</f>
        <v>497927.05000000005</v>
      </c>
      <c r="K22" s="446">
        <f>+DATI!BZ23+DATI!CM23+DATI!CZ23+DATI!DM23+DATI!DZ23+DATI!EM23+DATI!EZ23+DATI!FM23+DATI!FZ23+DATI!GM23+DATI2!BZ23+DATI2!CM23+DATI2!CZ23+DATI2!DM23+DATI2!DZ23+DATI2!EM23</f>
        <v>323652.5825</v>
      </c>
      <c r="L22" s="446"/>
      <c r="M22" s="446">
        <v>497927.05</v>
      </c>
      <c r="N22" s="446">
        <v>323652.5825</v>
      </c>
      <c r="O22" s="1189">
        <f t="shared" si="0"/>
        <v>0.8457095353622919</v>
      </c>
      <c r="P22" s="1189"/>
      <c r="Q22" s="446">
        <f t="shared" si="1"/>
        <v>59046.8775</v>
      </c>
      <c r="R22" s="446">
        <f>+Q22</f>
        <v>59046.8775</v>
      </c>
    </row>
    <row r="23" spans="1:19" ht="12.75">
      <c r="A23" s="421">
        <v>22</v>
      </c>
      <c r="B23" s="428">
        <v>46</v>
      </c>
      <c r="C23" s="1183" t="s">
        <v>140</v>
      </c>
      <c r="D23" s="468" t="s">
        <v>756</v>
      </c>
      <c r="E23" s="466">
        <v>538800</v>
      </c>
      <c r="F23" s="449">
        <v>65</v>
      </c>
      <c r="G23" s="1173">
        <v>627964</v>
      </c>
      <c r="H23" s="1173">
        <v>408176.6</v>
      </c>
      <c r="J23" s="446">
        <f>+DATI!BY24+DATI!CL24+DATI!CY24+DATI!DL24+DATI!DY24+DATI!EL24+DATI!EY24+DATI!FL24+DATI!FY24+DATI!GL24+DATI2!BY24+DATI2!CL24+DATI2!CY24+DATI2!DL24+DATI2!DY24+DATI2!EL24</f>
        <v>0</v>
      </c>
      <c r="K23" s="446">
        <f>+DATI!BZ24+DATI!CM24+DATI!CZ24+DATI!DM24+DATI!DZ24+DATI!EM24+DATI!EZ24+DATI!FM24+DATI!FZ24+DATI!GM24+DATI2!BZ24+DATI2!CM24+DATI2!CZ24+DATI2!DM24+DATI2!DZ24+DATI2!EM24</f>
        <v>0</v>
      </c>
      <c r="L23" s="446"/>
      <c r="M23" s="446">
        <v>0</v>
      </c>
      <c r="N23" s="446">
        <v>0</v>
      </c>
      <c r="O23" s="1189">
        <f t="shared" si="0"/>
        <v>0</v>
      </c>
      <c r="P23" s="1189"/>
      <c r="Q23" s="446">
        <f t="shared" si="1"/>
        <v>408176.6</v>
      </c>
      <c r="R23" s="446">
        <f>+Q23-DATI2!FF24</f>
        <v>122443.97999999998</v>
      </c>
      <c r="S23" s="446">
        <f>+DATI2!FJ24</f>
        <v>122452.98</v>
      </c>
    </row>
    <row r="24" spans="1:17" ht="12.75">
      <c r="A24" s="421">
        <v>23</v>
      </c>
      <c r="B24" s="433">
        <v>47</v>
      </c>
      <c r="C24" s="1181" t="s">
        <v>272</v>
      </c>
      <c r="D24" s="1182" t="s">
        <v>919</v>
      </c>
      <c r="E24" s="1177">
        <v>333175</v>
      </c>
      <c r="F24" s="1179">
        <v>50</v>
      </c>
      <c r="G24" s="1173">
        <v>389490</v>
      </c>
      <c r="H24" s="1173">
        <v>194745</v>
      </c>
      <c r="J24" s="446">
        <f>+DATI!BY25+DATI!CL25+DATI!CY25+DATI!DL25+DATI!DY25+DATI!EL25+DATI!EY25+DATI!FL25+DATI!FY25+DATI!GL25+DATI2!BY25+DATI2!CL25+DATI2!CY25+DATI2!DL25+DATI2!DY25+DATI2!EL25</f>
        <v>373792.5799666667</v>
      </c>
      <c r="K24" s="446">
        <f>+DATI!BZ25+DATI!CM25+DATI!CZ25+DATI!DM25+DATI!DZ25+DATI!EM25+DATI!EZ25+DATI!FM25+DATI!FZ25+DATI!GM25+DATI2!BZ25+DATI2!CM25+DATI2!CZ25+DATI2!DM25+DATI2!DZ25+DATI2!EM25</f>
        <v>186896.28998333335</v>
      </c>
      <c r="L24" s="446"/>
      <c r="M24" s="446">
        <v>373792.5799666667</v>
      </c>
      <c r="N24" s="446">
        <v>186896.28998333335</v>
      </c>
      <c r="O24" s="1189">
        <f t="shared" si="0"/>
        <v>0.9596975017758266</v>
      </c>
      <c r="P24" s="1189"/>
      <c r="Q24" s="446">
        <f t="shared" si="1"/>
        <v>7848.71001666665</v>
      </c>
    </row>
    <row r="25" spans="1:17" ht="12.75">
      <c r="A25" s="421">
        <v>24</v>
      </c>
      <c r="B25" s="433">
        <v>50</v>
      </c>
      <c r="C25" s="1181" t="s">
        <v>126</v>
      </c>
      <c r="D25" s="1182" t="s">
        <v>987</v>
      </c>
      <c r="E25" s="1177">
        <v>3845266</v>
      </c>
      <c r="F25" s="1179">
        <v>65</v>
      </c>
      <c r="G25" s="1173">
        <v>4409460.6</v>
      </c>
      <c r="H25" s="1173">
        <v>2500000</v>
      </c>
      <c r="J25" s="446">
        <f>+DATI!BY26+DATI!CL26+DATI!CY26+DATI!DL26+DATI!DY26+DATI!EL26+DATI!EY26+DATI!FL26+DATI!FY26+DATI!GL26+DATI2!BY26+DATI2!CL26+DATI2!CY26+DATI2!DL26+DATI2!DY26+DATI2!EL26</f>
        <v>2733099.12</v>
      </c>
      <c r="K25" s="446">
        <f>+DATI!BZ26+DATI!CM26+DATI!CZ26+DATI!DM26+DATI!DZ26+DATI!EM26+DATI!EZ26+DATI!FM26+DATI!FZ26+DATI!GM26+DATI2!BZ26+DATI2!CM26+DATI2!CZ26+DATI2!DM26+DATI2!DZ26+DATI2!EM26</f>
        <v>1776514.4280000003</v>
      </c>
      <c r="L25" s="446"/>
      <c r="M25" s="446">
        <v>2733099.12</v>
      </c>
      <c r="N25" s="446">
        <v>1776514.4280000003</v>
      </c>
      <c r="O25" s="1189">
        <f t="shared" si="0"/>
        <v>0.7106057712000001</v>
      </c>
      <c r="P25" s="1189"/>
      <c r="Q25" s="446">
        <f t="shared" si="1"/>
        <v>723485.5719999997</v>
      </c>
    </row>
    <row r="26" spans="5:19" ht="12.75">
      <c r="E26" s="1175">
        <f>SUM(E2:E25)</f>
        <v>41630388.91</v>
      </c>
      <c r="F26" s="1174"/>
      <c r="G26" s="1175">
        <f>SUM(G2:G25)</f>
        <v>47008016.492000006</v>
      </c>
      <c r="H26" s="1175">
        <f>SUM(H2:H25)</f>
        <v>28988439.09</v>
      </c>
      <c r="J26" s="1175">
        <f>SUM(J2:J25)</f>
        <v>39358740.47348185</v>
      </c>
      <c r="K26" s="1175">
        <f>SUM(K2:K25)</f>
        <v>25197696.4607182</v>
      </c>
      <c r="L26" s="1175"/>
      <c r="M26" s="1175">
        <f>SUM(M2:M25)</f>
        <v>39338942.96470185</v>
      </c>
      <c r="N26" s="1175">
        <f>SUM(N2:N25)</f>
        <v>25203256.0450112</v>
      </c>
      <c r="Q26" s="1175">
        <f>SUM(Q2:Q25)</f>
        <v>3785183.0449887905</v>
      </c>
      <c r="R26" s="1175">
        <f>SUM(R2:R25)</f>
        <v>592570.3607408332</v>
      </c>
      <c r="S26" s="1175">
        <f>SUM(S2:S25)</f>
        <v>199779.88999999996</v>
      </c>
    </row>
  </sheetData>
  <printOptions/>
  <pageMargins left="0.46" right="0.44" top="0.93" bottom="1" header="0.5" footer="0.5"/>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B3" sqref="B3"/>
    </sheetView>
  </sheetViews>
  <sheetFormatPr defaultColWidth="9.140625" defaultRowHeight="12.75"/>
  <cols>
    <col min="1" max="1" width="32.57421875" style="0" customWidth="1"/>
    <col min="2" max="2" width="21.140625" style="0" customWidth="1"/>
    <col min="3" max="3" width="20.140625" style="0" customWidth="1"/>
    <col min="4" max="4" width="15.421875" style="0" customWidth="1"/>
  </cols>
  <sheetData>
    <row r="1" spans="1:4" s="724" customFormat="1" ht="18" customHeight="1">
      <c r="A1" s="724" t="s">
        <v>1027</v>
      </c>
      <c r="B1" s="724" t="s">
        <v>1028</v>
      </c>
      <c r="C1" s="724" t="s">
        <v>1029</v>
      </c>
      <c r="D1" s="724" t="s">
        <v>153</v>
      </c>
    </row>
    <row r="2" ht="18" customHeight="1">
      <c r="A2" t="s">
        <v>1030</v>
      </c>
    </row>
    <row r="3" spans="1:4" ht="18" customHeight="1">
      <c r="A3" t="s">
        <v>1031</v>
      </c>
      <c r="B3" t="s">
        <v>1032</v>
      </c>
      <c r="C3" t="s">
        <v>1032</v>
      </c>
      <c r="D3" t="s">
        <v>1041</v>
      </c>
    </row>
    <row r="4" spans="1:4" ht="18" customHeight="1">
      <c r="A4" t="s">
        <v>1033</v>
      </c>
      <c r="B4" t="s">
        <v>1032</v>
      </c>
      <c r="C4" t="s">
        <v>1032</v>
      </c>
      <c r="D4" t="s">
        <v>1042</v>
      </c>
    </row>
    <row r="5" spans="1:4" ht="18" customHeight="1">
      <c r="A5" t="s">
        <v>1034</v>
      </c>
      <c r="B5" t="s">
        <v>1032</v>
      </c>
      <c r="C5" t="s">
        <v>1032</v>
      </c>
      <c r="D5" t="s">
        <v>1042</v>
      </c>
    </row>
    <row r="6" spans="1:4" ht="18" customHeight="1">
      <c r="A6" t="s">
        <v>1035</v>
      </c>
      <c r="B6" t="s">
        <v>1032</v>
      </c>
      <c r="C6" t="s">
        <v>1032</v>
      </c>
      <c r="D6" t="s">
        <v>1042</v>
      </c>
    </row>
    <row r="7" spans="1:4" ht="18" customHeight="1">
      <c r="A7" t="s">
        <v>1036</v>
      </c>
      <c r="B7" t="s">
        <v>1032</v>
      </c>
      <c r="C7" t="s">
        <v>1032</v>
      </c>
      <c r="D7" t="s">
        <v>1042</v>
      </c>
    </row>
    <row r="8" spans="1:3" ht="18" customHeight="1">
      <c r="A8" t="s">
        <v>1037</v>
      </c>
      <c r="B8" t="s">
        <v>1032</v>
      </c>
      <c r="C8" t="s">
        <v>1032</v>
      </c>
    </row>
    <row r="9" spans="1:3" ht="18" customHeight="1">
      <c r="A9" t="s">
        <v>1038</v>
      </c>
      <c r="B9" t="s">
        <v>1032</v>
      </c>
      <c r="C9" t="s">
        <v>1032</v>
      </c>
    </row>
    <row r="10" spans="1:4" ht="18" customHeight="1">
      <c r="A10" t="s">
        <v>1039</v>
      </c>
      <c r="B10" t="s">
        <v>1032</v>
      </c>
      <c r="D10" t="s">
        <v>1040</v>
      </c>
    </row>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sheetData>
  <sheetProtection/>
  <printOptions gridLines="1" horizontalCentered="1"/>
  <pageMargins left="0.2755905511811024" right="0.4330708661417323" top="0.61" bottom="0.984251968503937" header="0.4"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29"/>
  <sheetViews>
    <sheetView zoomScalePageLayoutView="0" workbookViewId="0" topLeftCell="A70">
      <selection activeCell="I64" sqref="I64"/>
    </sheetView>
  </sheetViews>
  <sheetFormatPr defaultColWidth="9.140625" defaultRowHeight="12.75"/>
  <cols>
    <col min="1" max="1" width="3.140625" style="177" customWidth="1"/>
    <col min="2" max="2" width="8.57421875" style="177" customWidth="1"/>
    <col min="3" max="3" width="5.57421875" style="177" customWidth="1"/>
    <col min="4" max="4" width="9.57421875" style="177" customWidth="1"/>
    <col min="5" max="5" width="21.28125" style="290" customWidth="1"/>
    <col min="6" max="6" width="30.421875" style="149" customWidth="1"/>
    <col min="7" max="7" width="11.00390625" style="149" customWidth="1"/>
    <col min="8" max="8" width="10.140625" style="149" customWidth="1"/>
    <col min="9" max="9" width="7.421875" style="149" customWidth="1"/>
    <col min="10" max="16384" width="9.140625" style="149" customWidth="1"/>
  </cols>
  <sheetData>
    <row r="1" spans="1:8" s="177" customFormat="1" ht="11.25">
      <c r="A1" s="1311" t="s">
        <v>1230</v>
      </c>
      <c r="B1" s="1311" t="s">
        <v>1231</v>
      </c>
      <c r="C1" s="1311" t="s">
        <v>1232</v>
      </c>
      <c r="D1" s="1311" t="s">
        <v>1233</v>
      </c>
      <c r="E1" s="1312" t="s">
        <v>1234</v>
      </c>
      <c r="F1" s="1311" t="s">
        <v>1235</v>
      </c>
      <c r="G1" s="1311" t="s">
        <v>1236</v>
      </c>
      <c r="H1" s="1311"/>
    </row>
    <row r="2" spans="1:8" ht="11.25">
      <c r="A2" s="1311"/>
      <c r="B2" s="1311"/>
      <c r="C2" s="1311"/>
      <c r="D2" s="1311"/>
      <c r="E2" s="1312"/>
      <c r="F2" s="1311"/>
      <c r="G2" s="585" t="s">
        <v>1237</v>
      </c>
      <c r="H2" s="585" t="s">
        <v>1238</v>
      </c>
    </row>
    <row r="3" spans="1:8" s="588" customFormat="1" ht="11.25">
      <c r="A3" s="428"/>
      <c r="B3" s="586" t="s">
        <v>1239</v>
      </c>
      <c r="C3" s="428"/>
      <c r="D3" s="428"/>
      <c r="E3" s="587"/>
      <c r="F3" s="428"/>
      <c r="G3" s="428"/>
      <c r="H3" s="428"/>
    </row>
    <row r="4" spans="1:8" ht="56.25">
      <c r="A4" s="177">
        <v>1</v>
      </c>
      <c r="B4" s="177" t="s">
        <v>1240</v>
      </c>
      <c r="C4" s="177">
        <v>1130</v>
      </c>
      <c r="D4" s="177">
        <v>2002</v>
      </c>
      <c r="E4" s="429" t="s">
        <v>1241</v>
      </c>
      <c r="F4" s="589"/>
      <c r="G4" s="589"/>
      <c r="H4" s="589"/>
    </row>
    <row r="5" spans="1:8" ht="45">
      <c r="A5" s="177">
        <f>+A4+1</f>
        <v>2</v>
      </c>
      <c r="B5" s="177" t="s">
        <v>1242</v>
      </c>
      <c r="C5" s="177">
        <v>219</v>
      </c>
      <c r="D5" s="590">
        <v>37557</v>
      </c>
      <c r="E5" s="290" t="s">
        <v>1243</v>
      </c>
      <c r="F5" s="589"/>
      <c r="G5" s="589"/>
      <c r="H5" s="589"/>
    </row>
    <row r="6" spans="1:8" ht="22.5">
      <c r="A6" s="177">
        <f>+A5+1</f>
        <v>3</v>
      </c>
      <c r="B6" s="177" t="s">
        <v>1242</v>
      </c>
      <c r="C6" s="177">
        <v>483</v>
      </c>
      <c r="D6" s="590">
        <v>37915</v>
      </c>
      <c r="E6" s="290" t="s">
        <v>1244</v>
      </c>
      <c r="F6" s="589"/>
      <c r="G6" s="589"/>
      <c r="H6" s="589"/>
    </row>
    <row r="7" spans="1:8" ht="11.25">
      <c r="A7" s="591">
        <f aca="true" t="shared" si="0" ref="A7:A38">A6+1</f>
        <v>4</v>
      </c>
      <c r="B7" s="177" t="s">
        <v>1242</v>
      </c>
      <c r="C7" s="592">
        <v>202</v>
      </c>
      <c r="D7" s="593" t="s">
        <v>999</v>
      </c>
      <c r="E7" s="290" t="s">
        <v>1245</v>
      </c>
      <c r="F7" s="594" t="s">
        <v>791</v>
      </c>
      <c r="G7" s="595">
        <v>2500000</v>
      </c>
      <c r="H7" s="589"/>
    </row>
    <row r="8" spans="1:7" ht="11.25">
      <c r="A8" s="591">
        <f t="shared" si="0"/>
        <v>5</v>
      </c>
      <c r="B8" s="177" t="s">
        <v>1242</v>
      </c>
      <c r="C8" s="592">
        <v>266</v>
      </c>
      <c r="D8" s="596">
        <v>38177</v>
      </c>
      <c r="E8" s="290" t="s">
        <v>1245</v>
      </c>
      <c r="F8" s="594" t="s">
        <v>882</v>
      </c>
      <c r="G8" s="595">
        <v>1262690</v>
      </c>
    </row>
    <row r="9" spans="1:7" ht="11.25">
      <c r="A9" s="591">
        <f t="shared" si="0"/>
        <v>6</v>
      </c>
      <c r="B9" s="177" t="s">
        <v>1242</v>
      </c>
      <c r="C9" s="592">
        <v>201</v>
      </c>
      <c r="D9" s="593" t="s">
        <v>999</v>
      </c>
      <c r="E9" s="290" t="s">
        <v>1245</v>
      </c>
      <c r="F9" s="594" t="s">
        <v>857</v>
      </c>
      <c r="G9" s="595">
        <v>1825024</v>
      </c>
    </row>
    <row r="10" spans="1:7" ht="11.25">
      <c r="A10" s="591">
        <f t="shared" si="0"/>
        <v>7</v>
      </c>
      <c r="B10" s="177" t="s">
        <v>1242</v>
      </c>
      <c r="C10" s="592">
        <v>255</v>
      </c>
      <c r="D10" s="593" t="s">
        <v>77</v>
      </c>
      <c r="E10" s="290" t="s">
        <v>1245</v>
      </c>
      <c r="F10" s="594" t="s">
        <v>864</v>
      </c>
      <c r="G10" s="595">
        <v>1305942.56</v>
      </c>
    </row>
    <row r="11" spans="1:7" ht="11.25">
      <c r="A11" s="591">
        <f t="shared" si="0"/>
        <v>8</v>
      </c>
      <c r="B11" s="177" t="s">
        <v>1242</v>
      </c>
      <c r="C11" s="597">
        <v>254</v>
      </c>
      <c r="D11" s="590">
        <v>38166</v>
      </c>
      <c r="E11" s="290" t="s">
        <v>1245</v>
      </c>
      <c r="F11" s="492" t="s">
        <v>851</v>
      </c>
      <c r="G11" s="595">
        <v>561233.4</v>
      </c>
    </row>
    <row r="12" spans="1:7" ht="22.5">
      <c r="A12" s="591">
        <f t="shared" si="0"/>
        <v>9</v>
      </c>
      <c r="B12" s="177" t="s">
        <v>1242</v>
      </c>
      <c r="C12" s="598">
        <v>332</v>
      </c>
      <c r="D12" s="599">
        <v>38205</v>
      </c>
      <c r="E12" s="290" t="s">
        <v>1245</v>
      </c>
      <c r="F12" s="594" t="s">
        <v>907</v>
      </c>
      <c r="G12" s="595">
        <v>152672</v>
      </c>
    </row>
    <row r="13" spans="1:7" ht="33.75">
      <c r="A13" s="591">
        <f t="shared" si="0"/>
        <v>10</v>
      </c>
      <c r="B13" s="177" t="s">
        <v>1242</v>
      </c>
      <c r="C13" s="600">
        <v>203</v>
      </c>
      <c r="D13" s="601" t="s">
        <v>999</v>
      </c>
      <c r="E13" s="290" t="s">
        <v>1245</v>
      </c>
      <c r="F13" s="594" t="s">
        <v>869</v>
      </c>
      <c r="G13" s="595">
        <v>2500000</v>
      </c>
    </row>
    <row r="14" spans="1:7" ht="22.5">
      <c r="A14" s="591">
        <f t="shared" si="0"/>
        <v>11</v>
      </c>
      <c r="B14" s="177" t="s">
        <v>1242</v>
      </c>
      <c r="C14" s="592">
        <v>267</v>
      </c>
      <c r="D14" s="596">
        <v>38177</v>
      </c>
      <c r="E14" s="290" t="s">
        <v>1245</v>
      </c>
      <c r="F14" s="594" t="s">
        <v>1142</v>
      </c>
      <c r="G14" s="595">
        <v>753573.6</v>
      </c>
    </row>
    <row r="15" spans="1:7" ht="22.5">
      <c r="A15" s="591">
        <f t="shared" si="0"/>
        <v>12</v>
      </c>
      <c r="B15" s="177" t="s">
        <v>1242</v>
      </c>
      <c r="C15" s="177">
        <v>250</v>
      </c>
      <c r="D15" s="590">
        <v>38166</v>
      </c>
      <c r="E15" s="290" t="s">
        <v>1245</v>
      </c>
      <c r="F15" s="290" t="s">
        <v>843</v>
      </c>
      <c r="G15" s="595">
        <v>311343.5</v>
      </c>
    </row>
    <row r="16" spans="1:7" ht="22.5">
      <c r="A16" s="591">
        <f t="shared" si="0"/>
        <v>13</v>
      </c>
      <c r="B16" s="177" t="s">
        <v>1242</v>
      </c>
      <c r="C16" s="598">
        <v>253</v>
      </c>
      <c r="D16" s="590">
        <v>38166</v>
      </c>
      <c r="E16" s="290" t="s">
        <v>1245</v>
      </c>
      <c r="F16" s="594" t="s">
        <v>834</v>
      </c>
      <c r="G16" s="595">
        <v>1469831.35</v>
      </c>
    </row>
    <row r="17" spans="1:7" ht="22.5">
      <c r="A17" s="591">
        <f t="shared" si="0"/>
        <v>14</v>
      </c>
      <c r="B17" s="177" t="s">
        <v>1242</v>
      </c>
      <c r="C17" s="592">
        <v>265</v>
      </c>
      <c r="D17" s="596">
        <v>38177</v>
      </c>
      <c r="E17" s="290" t="s">
        <v>1245</v>
      </c>
      <c r="F17" s="594" t="s">
        <v>890</v>
      </c>
      <c r="G17" s="595">
        <v>529607</v>
      </c>
    </row>
    <row r="18" spans="1:7" ht="11.25">
      <c r="A18" s="591">
        <f t="shared" si="0"/>
        <v>15</v>
      </c>
      <c r="B18" s="177" t="s">
        <v>1242</v>
      </c>
      <c r="C18" s="598">
        <v>269</v>
      </c>
      <c r="D18" s="602">
        <v>38177</v>
      </c>
      <c r="E18" s="290" t="s">
        <v>1245</v>
      </c>
      <c r="F18" s="594" t="s">
        <v>1096</v>
      </c>
      <c r="G18" s="595">
        <v>463750</v>
      </c>
    </row>
    <row r="19" spans="1:7" ht="11.25">
      <c r="A19" s="591">
        <f t="shared" si="0"/>
        <v>16</v>
      </c>
      <c r="B19" s="177" t="s">
        <v>1242</v>
      </c>
      <c r="C19" s="592">
        <v>204</v>
      </c>
      <c r="D19" s="593" t="s">
        <v>999</v>
      </c>
      <c r="E19" s="290" t="s">
        <v>1245</v>
      </c>
      <c r="F19" s="594" t="s">
        <v>826</v>
      </c>
      <c r="G19" s="595">
        <v>2500000</v>
      </c>
    </row>
    <row r="20" spans="1:7" ht="11.25">
      <c r="A20" s="591">
        <f t="shared" si="0"/>
        <v>17</v>
      </c>
      <c r="B20" s="177" t="s">
        <v>1242</v>
      </c>
      <c r="C20" s="592">
        <v>231</v>
      </c>
      <c r="D20" s="593" t="s">
        <v>182</v>
      </c>
      <c r="E20" s="290" t="s">
        <v>1245</v>
      </c>
      <c r="F20" s="594" t="s">
        <v>290</v>
      </c>
      <c r="G20" s="595">
        <v>1456278.72</v>
      </c>
    </row>
    <row r="21" spans="1:7" ht="22.5">
      <c r="A21" s="591">
        <f t="shared" si="0"/>
        <v>18</v>
      </c>
      <c r="B21" s="177" t="s">
        <v>1242</v>
      </c>
      <c r="C21" s="603">
        <v>330</v>
      </c>
      <c r="D21" s="599">
        <v>38205</v>
      </c>
      <c r="E21" s="290" t="s">
        <v>1245</v>
      </c>
      <c r="F21" s="604" t="s">
        <v>1105</v>
      </c>
      <c r="G21" s="595">
        <v>1625150.02</v>
      </c>
    </row>
    <row r="22" spans="1:7" ht="22.5">
      <c r="A22" s="591">
        <f t="shared" si="0"/>
        <v>19</v>
      </c>
      <c r="B22" s="177" t="s">
        <v>1242</v>
      </c>
      <c r="C22" s="603">
        <v>251</v>
      </c>
      <c r="D22" s="599">
        <v>38166</v>
      </c>
      <c r="E22" s="290" t="s">
        <v>1245</v>
      </c>
      <c r="F22" s="604" t="s">
        <v>884</v>
      </c>
      <c r="G22" s="595">
        <v>332966.4</v>
      </c>
    </row>
    <row r="23" spans="1:7" ht="22.5">
      <c r="A23" s="591">
        <f t="shared" si="0"/>
        <v>20</v>
      </c>
      <c r="B23" s="177" t="s">
        <v>1242</v>
      </c>
      <c r="C23" s="597">
        <v>262</v>
      </c>
      <c r="D23" s="593" t="s">
        <v>78</v>
      </c>
      <c r="E23" s="290" t="s">
        <v>1245</v>
      </c>
      <c r="F23" s="492" t="s">
        <v>812</v>
      </c>
      <c r="G23" s="595">
        <v>659061</v>
      </c>
    </row>
    <row r="24" spans="1:7" ht="22.5">
      <c r="A24" s="591">
        <f t="shared" si="0"/>
        <v>21</v>
      </c>
      <c r="B24" s="177" t="s">
        <v>1242</v>
      </c>
      <c r="C24" s="592">
        <v>230</v>
      </c>
      <c r="D24" s="593">
        <v>38155</v>
      </c>
      <c r="E24" s="290" t="s">
        <v>1245</v>
      </c>
      <c r="F24" s="594" t="s">
        <v>816</v>
      </c>
      <c r="G24" s="595">
        <v>1834026.48</v>
      </c>
    </row>
    <row r="25" spans="1:7" ht="22.5">
      <c r="A25" s="591">
        <f t="shared" si="0"/>
        <v>22</v>
      </c>
      <c r="B25" s="177" t="s">
        <v>1242</v>
      </c>
      <c r="C25" s="592">
        <v>268</v>
      </c>
      <c r="D25" s="596">
        <v>38177</v>
      </c>
      <c r="E25" s="290" t="s">
        <v>1245</v>
      </c>
      <c r="F25" s="594" t="s">
        <v>847</v>
      </c>
      <c r="G25" s="595">
        <v>485946.5</v>
      </c>
    </row>
    <row r="26" spans="1:7" ht="22.5">
      <c r="A26" s="591">
        <f t="shared" si="0"/>
        <v>23</v>
      </c>
      <c r="B26" s="177" t="s">
        <v>1242</v>
      </c>
      <c r="C26" s="592">
        <v>205</v>
      </c>
      <c r="D26" s="593" t="s">
        <v>999</v>
      </c>
      <c r="E26" s="290" t="s">
        <v>1245</v>
      </c>
      <c r="F26" s="594" t="s">
        <v>808</v>
      </c>
      <c r="G26" s="595">
        <v>808500</v>
      </c>
    </row>
    <row r="27" spans="1:7" ht="11.25">
      <c r="A27" s="591">
        <f t="shared" si="0"/>
        <v>24</v>
      </c>
      <c r="B27" s="177" t="s">
        <v>1242</v>
      </c>
      <c r="C27" s="592">
        <v>321</v>
      </c>
      <c r="D27" s="596">
        <v>38198</v>
      </c>
      <c r="E27" s="290" t="s">
        <v>1245</v>
      </c>
      <c r="F27" s="594" t="s">
        <v>677</v>
      </c>
      <c r="G27" s="595">
        <v>2476565</v>
      </c>
    </row>
    <row r="28" spans="1:7" ht="11.25">
      <c r="A28" s="591">
        <f t="shared" si="0"/>
        <v>25</v>
      </c>
      <c r="B28" s="177" t="s">
        <v>1242</v>
      </c>
      <c r="C28" s="177">
        <v>252</v>
      </c>
      <c r="D28" s="590">
        <v>38166</v>
      </c>
      <c r="E28" s="290" t="s">
        <v>1245</v>
      </c>
      <c r="F28" s="290" t="s">
        <v>829</v>
      </c>
      <c r="G28" s="595">
        <v>382699.46</v>
      </c>
    </row>
    <row r="29" spans="1:7" ht="11.25">
      <c r="A29" s="591">
        <f t="shared" si="0"/>
        <v>26</v>
      </c>
      <c r="B29" s="177" t="s">
        <v>1242</v>
      </c>
      <c r="C29" s="177">
        <v>377</v>
      </c>
      <c r="D29" s="590">
        <v>38265</v>
      </c>
      <c r="E29" s="290" t="s">
        <v>1245</v>
      </c>
      <c r="F29" s="290" t="s">
        <v>140</v>
      </c>
      <c r="G29" s="595">
        <v>408176.6</v>
      </c>
    </row>
    <row r="30" spans="1:7" ht="22.5">
      <c r="A30" s="591">
        <f t="shared" si="0"/>
        <v>27</v>
      </c>
      <c r="B30" s="177" t="s">
        <v>1242</v>
      </c>
      <c r="C30" s="603">
        <v>333</v>
      </c>
      <c r="D30" s="599">
        <v>38205</v>
      </c>
      <c r="E30" s="290" t="s">
        <v>1245</v>
      </c>
      <c r="F30" s="604" t="s">
        <v>272</v>
      </c>
      <c r="G30" s="595">
        <v>194745</v>
      </c>
    </row>
    <row r="31" spans="1:7" ht="22.5">
      <c r="A31" s="591">
        <f t="shared" si="0"/>
        <v>28</v>
      </c>
      <c r="B31" s="177" t="s">
        <v>1242</v>
      </c>
      <c r="C31" s="603">
        <v>331</v>
      </c>
      <c r="D31" s="599">
        <v>38205</v>
      </c>
      <c r="E31" s="290" t="s">
        <v>1245</v>
      </c>
      <c r="F31" s="604" t="s">
        <v>126</v>
      </c>
      <c r="G31" s="595">
        <v>2500000</v>
      </c>
    </row>
    <row r="32" spans="1:8" ht="11.25">
      <c r="A32" s="591">
        <f t="shared" si="0"/>
        <v>29</v>
      </c>
      <c r="B32" s="177" t="s">
        <v>1242</v>
      </c>
      <c r="C32" s="605">
        <v>677</v>
      </c>
      <c r="D32" s="550">
        <v>38336</v>
      </c>
      <c r="E32" s="290" t="s">
        <v>1246</v>
      </c>
      <c r="F32" s="594" t="s">
        <v>791</v>
      </c>
      <c r="H32" s="595">
        <v>750000</v>
      </c>
    </row>
    <row r="33" spans="1:8" ht="11.25">
      <c r="A33" s="591">
        <f t="shared" si="0"/>
        <v>30</v>
      </c>
      <c r="B33" s="177" t="s">
        <v>1242</v>
      </c>
      <c r="C33" s="600">
        <v>654</v>
      </c>
      <c r="D33" s="606">
        <v>38323</v>
      </c>
      <c r="E33" s="290" t="s">
        <v>1246</v>
      </c>
      <c r="F33" s="594" t="s">
        <v>882</v>
      </c>
      <c r="H33" s="595">
        <v>378807</v>
      </c>
    </row>
    <row r="34" spans="1:8" ht="11.25">
      <c r="A34" s="591">
        <f t="shared" si="0"/>
        <v>31</v>
      </c>
      <c r="B34" s="177" t="s">
        <v>1242</v>
      </c>
      <c r="C34" s="605">
        <v>676</v>
      </c>
      <c r="D34" s="550">
        <v>38335</v>
      </c>
      <c r="E34" s="290" t="s">
        <v>1246</v>
      </c>
      <c r="F34" s="594" t="s">
        <v>857</v>
      </c>
      <c r="H34" s="595">
        <v>547507.2</v>
      </c>
    </row>
    <row r="35" spans="1:8" ht="11.25">
      <c r="A35" s="591">
        <f t="shared" si="0"/>
        <v>32</v>
      </c>
      <c r="B35" s="177" t="s">
        <v>1242</v>
      </c>
      <c r="C35" s="605">
        <v>642</v>
      </c>
      <c r="D35" s="550">
        <v>38320</v>
      </c>
      <c r="E35" s="290" t="s">
        <v>1246</v>
      </c>
      <c r="F35" s="594" t="s">
        <v>864</v>
      </c>
      <c r="H35" s="595">
        <v>391782.768</v>
      </c>
    </row>
    <row r="36" spans="1:8" ht="11.25">
      <c r="A36" s="591">
        <f t="shared" si="0"/>
        <v>33</v>
      </c>
      <c r="B36" s="177" t="s">
        <v>1242</v>
      </c>
      <c r="C36" s="605">
        <v>662</v>
      </c>
      <c r="D36" s="550">
        <v>38324</v>
      </c>
      <c r="E36" s="290" t="s">
        <v>1246</v>
      </c>
      <c r="F36" s="492" t="s">
        <v>851</v>
      </c>
      <c r="H36" s="595">
        <v>168370.02</v>
      </c>
    </row>
    <row r="37" spans="1:8" ht="22.5">
      <c r="A37" s="591">
        <f t="shared" si="0"/>
        <v>34</v>
      </c>
      <c r="B37" s="177" t="s">
        <v>1242</v>
      </c>
      <c r="C37" s="607">
        <v>681</v>
      </c>
      <c r="D37" s="550">
        <v>38337</v>
      </c>
      <c r="E37" s="290" t="s">
        <v>1246</v>
      </c>
      <c r="F37" s="594" t="s">
        <v>907</v>
      </c>
      <c r="H37" s="595">
        <v>45801.6</v>
      </c>
    </row>
    <row r="38" spans="1:8" ht="33.75">
      <c r="A38" s="591">
        <f t="shared" si="0"/>
        <v>35</v>
      </c>
      <c r="B38" s="177" t="s">
        <v>1242</v>
      </c>
      <c r="C38" s="605">
        <v>663</v>
      </c>
      <c r="D38" s="550">
        <v>38330</v>
      </c>
      <c r="E38" s="290" t="s">
        <v>1246</v>
      </c>
      <c r="F38" s="594" t="s">
        <v>869</v>
      </c>
      <c r="H38" s="595">
        <v>750000</v>
      </c>
    </row>
    <row r="39" spans="1:8" ht="22.5">
      <c r="A39" s="591">
        <f aca="true" t="shared" si="1" ref="A39:A58">A38+1</f>
        <v>36</v>
      </c>
      <c r="B39" s="177" t="s">
        <v>1242</v>
      </c>
      <c r="C39" s="605">
        <v>664</v>
      </c>
      <c r="D39" s="550">
        <v>38330</v>
      </c>
      <c r="E39" s="290" t="s">
        <v>1246</v>
      </c>
      <c r="F39" s="594" t="s">
        <v>1142</v>
      </c>
      <c r="H39" s="595">
        <v>226072.08</v>
      </c>
    </row>
    <row r="40" spans="1:8" ht="22.5">
      <c r="A40" s="591">
        <f t="shared" si="1"/>
        <v>37</v>
      </c>
      <c r="B40" s="177" t="s">
        <v>1242</v>
      </c>
      <c r="C40" s="605">
        <v>706</v>
      </c>
      <c r="D40" s="550">
        <v>38344</v>
      </c>
      <c r="E40" s="290" t="s">
        <v>1246</v>
      </c>
      <c r="F40" s="290" t="s">
        <v>843</v>
      </c>
      <c r="H40" s="595">
        <v>82163.25</v>
      </c>
    </row>
    <row r="41" spans="1:8" ht="22.5">
      <c r="A41" s="591">
        <f t="shared" si="1"/>
        <v>38</v>
      </c>
      <c r="B41" s="177" t="s">
        <v>1242</v>
      </c>
      <c r="C41" s="605">
        <v>668</v>
      </c>
      <c r="D41" s="550">
        <v>38330</v>
      </c>
      <c r="E41" s="290" t="s">
        <v>1246</v>
      </c>
      <c r="F41" s="594" t="s">
        <v>834</v>
      </c>
      <c r="H41" s="595">
        <v>440949.405</v>
      </c>
    </row>
    <row r="42" spans="1:8" ht="22.5">
      <c r="A42" s="591">
        <f t="shared" si="1"/>
        <v>39</v>
      </c>
      <c r="B42" s="177" t="s">
        <v>1242</v>
      </c>
      <c r="C42" s="600">
        <v>285</v>
      </c>
      <c r="D42" s="606">
        <v>38425</v>
      </c>
      <c r="E42" s="290" t="s">
        <v>1246</v>
      </c>
      <c r="F42" s="594" t="s">
        <v>890</v>
      </c>
      <c r="H42" s="595">
        <v>158882</v>
      </c>
    </row>
    <row r="43" spans="1:8" ht="11.25">
      <c r="A43" s="591">
        <f t="shared" si="1"/>
        <v>40</v>
      </c>
      <c r="B43" s="177" t="s">
        <v>1242</v>
      </c>
      <c r="C43" s="608">
        <v>641</v>
      </c>
      <c r="D43" s="609">
        <v>38320</v>
      </c>
      <c r="E43" s="290" t="s">
        <v>1246</v>
      </c>
      <c r="F43" s="594" t="s">
        <v>1096</v>
      </c>
      <c r="H43" s="595">
        <v>119000</v>
      </c>
    </row>
    <row r="44" spans="1:8" ht="11.25">
      <c r="A44" s="591">
        <f t="shared" si="1"/>
        <v>41</v>
      </c>
      <c r="B44" s="177" t="s">
        <v>1242</v>
      </c>
      <c r="C44" s="605">
        <v>665</v>
      </c>
      <c r="D44" s="550">
        <v>38330</v>
      </c>
      <c r="E44" s="290" t="s">
        <v>1246</v>
      </c>
      <c r="F44" s="594" t="s">
        <v>826</v>
      </c>
      <c r="H44" s="595">
        <v>749203.5</v>
      </c>
    </row>
    <row r="45" spans="1:8" ht="11.25">
      <c r="A45" s="591">
        <f t="shared" si="1"/>
        <v>42</v>
      </c>
      <c r="B45" s="177" t="s">
        <v>1242</v>
      </c>
      <c r="C45" s="605">
        <v>476</v>
      </c>
      <c r="D45" s="550">
        <v>38289</v>
      </c>
      <c r="E45" s="290" t="s">
        <v>1246</v>
      </c>
      <c r="F45" s="594" t="s">
        <v>290</v>
      </c>
      <c r="H45" s="595">
        <v>436883.61600000004</v>
      </c>
    </row>
    <row r="46" spans="1:8" ht="22.5">
      <c r="A46" s="591">
        <f t="shared" si="1"/>
        <v>43</v>
      </c>
      <c r="B46" s="177" t="s">
        <v>1242</v>
      </c>
      <c r="C46" s="610">
        <v>640</v>
      </c>
      <c r="D46" s="611">
        <v>38320</v>
      </c>
      <c r="E46" s="290" t="s">
        <v>1246</v>
      </c>
      <c r="F46" s="604" t="s">
        <v>884</v>
      </c>
      <c r="H46" s="595">
        <v>99889.92</v>
      </c>
    </row>
    <row r="47" spans="1:8" ht="22.5">
      <c r="A47" s="591">
        <f t="shared" si="1"/>
        <v>44</v>
      </c>
      <c r="B47" s="177" t="s">
        <v>1242</v>
      </c>
      <c r="C47" s="605">
        <v>678</v>
      </c>
      <c r="D47" s="550">
        <v>38337</v>
      </c>
      <c r="E47" s="290" t="s">
        <v>1246</v>
      </c>
      <c r="F47" s="492" t="s">
        <v>812</v>
      </c>
      <c r="H47" s="595">
        <v>197718.3</v>
      </c>
    </row>
    <row r="48" spans="1:8" ht="22.5">
      <c r="A48" s="591">
        <f t="shared" si="1"/>
        <v>45</v>
      </c>
      <c r="B48" s="177" t="s">
        <v>1242</v>
      </c>
      <c r="C48" s="605">
        <v>666</v>
      </c>
      <c r="D48" s="550">
        <v>38330</v>
      </c>
      <c r="E48" s="290" t="s">
        <v>1246</v>
      </c>
      <c r="F48" s="594" t="s">
        <v>816</v>
      </c>
      <c r="H48" s="595">
        <v>503887.02</v>
      </c>
    </row>
    <row r="49" spans="1:8" ht="22.5">
      <c r="A49" s="591">
        <f t="shared" si="1"/>
        <v>46</v>
      </c>
      <c r="B49" s="177" t="s">
        <v>1242</v>
      </c>
      <c r="C49" s="605">
        <v>651</v>
      </c>
      <c r="D49" s="550">
        <v>38321</v>
      </c>
      <c r="E49" s="290" t="s">
        <v>1246</v>
      </c>
      <c r="F49" s="594" t="s">
        <v>847</v>
      </c>
      <c r="H49" s="595">
        <v>145783.95</v>
      </c>
    </row>
    <row r="50" spans="1:8" ht="11.25">
      <c r="A50" s="591">
        <f t="shared" si="1"/>
        <v>47</v>
      </c>
      <c r="B50" s="177" t="s">
        <v>1242</v>
      </c>
      <c r="C50" s="612" t="s">
        <v>156</v>
      </c>
      <c r="D50" s="550">
        <v>38310</v>
      </c>
      <c r="E50" s="290" t="s">
        <v>1246</v>
      </c>
      <c r="F50" s="594" t="s">
        <v>677</v>
      </c>
      <c r="H50" s="595">
        <v>742669.5</v>
      </c>
    </row>
    <row r="51" spans="1:8" ht="11.25">
      <c r="A51" s="591">
        <f t="shared" si="1"/>
        <v>48</v>
      </c>
      <c r="B51" s="177" t="s">
        <v>1242</v>
      </c>
      <c r="C51" s="605">
        <v>560</v>
      </c>
      <c r="D51" s="550">
        <v>38307</v>
      </c>
      <c r="E51" s="290" t="s">
        <v>1246</v>
      </c>
      <c r="F51" s="290" t="s">
        <v>829</v>
      </c>
      <c r="H51" s="595">
        <v>97247.87</v>
      </c>
    </row>
    <row r="52" spans="1:8" ht="22.5">
      <c r="A52" s="591">
        <f t="shared" si="1"/>
        <v>49</v>
      </c>
      <c r="B52" s="177" t="s">
        <v>1242</v>
      </c>
      <c r="C52" s="608">
        <v>475</v>
      </c>
      <c r="D52" s="609">
        <v>38289</v>
      </c>
      <c r="E52" s="290" t="s">
        <v>1246</v>
      </c>
      <c r="F52" s="604" t="s">
        <v>272</v>
      </c>
      <c r="H52" s="595">
        <v>58423.5</v>
      </c>
    </row>
    <row r="53" spans="1:8" ht="22.5">
      <c r="A53" s="591">
        <f t="shared" si="1"/>
        <v>50</v>
      </c>
      <c r="B53" s="177" t="s">
        <v>1242</v>
      </c>
      <c r="C53" s="608">
        <v>701</v>
      </c>
      <c r="D53" s="609">
        <v>38338</v>
      </c>
      <c r="E53" s="290" t="s">
        <v>1246</v>
      </c>
      <c r="F53" s="604" t="s">
        <v>126</v>
      </c>
      <c r="H53" s="595">
        <v>750000</v>
      </c>
    </row>
    <row r="54" spans="1:8" ht="11.25">
      <c r="A54" s="591">
        <f t="shared" si="1"/>
        <v>51</v>
      </c>
      <c r="B54" s="177" t="s">
        <v>1242</v>
      </c>
      <c r="C54" s="482">
        <v>1403</v>
      </c>
      <c r="D54" s="483">
        <v>38537</v>
      </c>
      <c r="E54" s="290" t="s">
        <v>1247</v>
      </c>
      <c r="F54" s="408" t="s">
        <v>1096</v>
      </c>
      <c r="H54" s="595">
        <v>6332.944375</v>
      </c>
    </row>
    <row r="55" spans="1:8" ht="22.5">
      <c r="A55" s="591">
        <f t="shared" si="1"/>
        <v>52</v>
      </c>
      <c r="B55" s="177" t="s">
        <v>1242</v>
      </c>
      <c r="C55" s="482">
        <v>1330</v>
      </c>
      <c r="D55" s="483">
        <v>38527</v>
      </c>
      <c r="E55" s="290" t="s">
        <v>1247</v>
      </c>
      <c r="F55" s="408" t="s">
        <v>847</v>
      </c>
      <c r="H55" s="595">
        <v>76037.9790625</v>
      </c>
    </row>
    <row r="56" spans="1:8" ht="11.25">
      <c r="A56" s="591">
        <f t="shared" si="1"/>
        <v>53</v>
      </c>
      <c r="B56" s="177" t="s">
        <v>1242</v>
      </c>
      <c r="C56" s="497">
        <v>873</v>
      </c>
      <c r="D56" s="483">
        <v>38489</v>
      </c>
      <c r="E56" s="290" t="s">
        <v>1247</v>
      </c>
      <c r="F56" s="408" t="s">
        <v>677</v>
      </c>
      <c r="H56" s="595">
        <v>179150.855</v>
      </c>
    </row>
    <row r="57" spans="1:8" ht="11.25">
      <c r="A57" s="591">
        <f t="shared" si="1"/>
        <v>54</v>
      </c>
      <c r="B57" s="177" t="s">
        <v>1242</v>
      </c>
      <c r="C57" s="482">
        <v>1402</v>
      </c>
      <c r="D57" s="483">
        <v>38537</v>
      </c>
      <c r="E57" s="290" t="s">
        <v>1247</v>
      </c>
      <c r="F57" s="429" t="s">
        <v>829</v>
      </c>
      <c r="H57" s="595">
        <v>13747.4025</v>
      </c>
    </row>
    <row r="58" spans="1:8" ht="22.5">
      <c r="A58" s="591">
        <f t="shared" si="1"/>
        <v>55</v>
      </c>
      <c r="B58" s="177" t="s">
        <v>1242</v>
      </c>
      <c r="C58" s="484">
        <v>1329</v>
      </c>
      <c r="D58" s="486">
        <v>38527</v>
      </c>
      <c r="E58" s="290" t="s">
        <v>1247</v>
      </c>
      <c r="F58" s="442" t="s">
        <v>272</v>
      </c>
      <c r="H58" s="595">
        <v>35729.83</v>
      </c>
    </row>
    <row r="59" spans="1:8" s="613" customFormat="1" ht="11.25">
      <c r="A59" s="591"/>
      <c r="B59" s="177" t="s">
        <v>1248</v>
      </c>
      <c r="C59" s="484"/>
      <c r="D59" s="486"/>
      <c r="E59" s="290" t="s">
        <v>1247</v>
      </c>
      <c r="F59" s="442" t="s">
        <v>882</v>
      </c>
      <c r="G59" s="149"/>
      <c r="H59" s="595"/>
    </row>
    <row r="60" spans="1:8" s="613" customFormat="1" ht="22.5">
      <c r="A60" s="591">
        <v>56</v>
      </c>
      <c r="B60" s="177" t="s">
        <v>1242</v>
      </c>
      <c r="C60" s="485">
        <v>1509</v>
      </c>
      <c r="D60" s="501">
        <v>38561</v>
      </c>
      <c r="E60" s="290" t="s">
        <v>1247</v>
      </c>
      <c r="F60" s="408" t="s">
        <v>890</v>
      </c>
      <c r="G60" s="149"/>
      <c r="H60" s="595">
        <v>33085.6768125</v>
      </c>
    </row>
    <row r="61" spans="1:8" s="613" customFormat="1" ht="11.25">
      <c r="A61" s="591">
        <f>A60+1</f>
        <v>57</v>
      </c>
      <c r="B61" s="177" t="s">
        <v>1242</v>
      </c>
      <c r="C61" s="482">
        <v>1534</v>
      </c>
      <c r="D61" s="483">
        <v>38595</v>
      </c>
      <c r="E61" s="290" t="s">
        <v>1247</v>
      </c>
      <c r="F61" s="408" t="s">
        <v>290</v>
      </c>
      <c r="G61" s="149"/>
      <c r="H61" s="595">
        <v>383158.481875</v>
      </c>
    </row>
    <row r="62" spans="1:8" s="613" customFormat="1" ht="22.5">
      <c r="A62" s="591">
        <f>A61+1</f>
        <v>58</v>
      </c>
      <c r="B62" s="177" t="s">
        <v>1242</v>
      </c>
      <c r="C62" s="506" t="s">
        <v>368</v>
      </c>
      <c r="D62" s="483">
        <v>38551</v>
      </c>
      <c r="E62" s="290" t="s">
        <v>1249</v>
      </c>
      <c r="F62" s="604" t="s">
        <v>272</v>
      </c>
      <c r="G62" s="149"/>
      <c r="H62" s="595">
        <v>7942.24</v>
      </c>
    </row>
    <row r="63" spans="1:8" s="613" customFormat="1" ht="11.25">
      <c r="A63" s="591"/>
      <c r="B63" s="177" t="s">
        <v>1248</v>
      </c>
      <c r="C63" s="484"/>
      <c r="D63" s="486"/>
      <c r="E63" s="290" t="s">
        <v>1249</v>
      </c>
      <c r="F63" s="594" t="s">
        <v>677</v>
      </c>
      <c r="G63" s="149"/>
      <c r="H63" s="595"/>
    </row>
    <row r="64" spans="1:9" ht="11.25">
      <c r="A64" s="585"/>
      <c r="B64" s="585"/>
      <c r="C64" s="585"/>
      <c r="D64" s="585"/>
      <c r="E64" s="491" t="s">
        <v>1250</v>
      </c>
      <c r="F64" s="613"/>
      <c r="G64" s="614">
        <f>SUM(G7:G62)</f>
        <v>29299782.59</v>
      </c>
      <c r="H64" s="614">
        <f>SUM(H6:H62)</f>
        <v>8576227.908625001</v>
      </c>
      <c r="I64" s="615">
        <f>H64/G64</f>
        <v>0.29270619610508863</v>
      </c>
    </row>
    <row r="65" spans="1:8" s="620" customFormat="1" ht="11.25">
      <c r="A65" s="616"/>
      <c r="B65" s="616"/>
      <c r="C65" s="616"/>
      <c r="D65" s="616"/>
      <c r="E65" s="617"/>
      <c r="F65" s="618"/>
      <c r="G65" s="619"/>
      <c r="H65" s="619"/>
    </row>
    <row r="66" spans="1:8" s="588" customFormat="1" ht="11.25">
      <c r="A66" s="586"/>
      <c r="B66" s="586" t="s">
        <v>1251</v>
      </c>
      <c r="C66" s="586"/>
      <c r="D66" s="428"/>
      <c r="E66" s="621"/>
      <c r="F66" s="622"/>
      <c r="G66" s="623"/>
      <c r="H66" s="623"/>
    </row>
    <row r="67" spans="1:5" ht="33.75">
      <c r="A67" s="177">
        <v>1</v>
      </c>
      <c r="B67" s="177" t="s">
        <v>1242</v>
      </c>
      <c r="C67" s="177">
        <v>209</v>
      </c>
      <c r="D67" s="590">
        <v>37550</v>
      </c>
      <c r="E67" s="290" t="s">
        <v>1252</v>
      </c>
    </row>
    <row r="68" spans="1:5" ht="22.5">
      <c r="A68" s="177">
        <f aca="true" t="shared" si="2" ref="A68:A73">A67+1</f>
        <v>2</v>
      </c>
      <c r="B68" s="177" t="s">
        <v>1242</v>
      </c>
      <c r="C68" s="177">
        <v>482</v>
      </c>
      <c r="D68" s="590">
        <v>37915</v>
      </c>
      <c r="E68" s="290" t="s">
        <v>1244</v>
      </c>
    </row>
    <row r="69" spans="1:7" ht="11.25">
      <c r="A69" s="177">
        <f t="shared" si="2"/>
        <v>3</v>
      </c>
      <c r="B69" s="177" t="s">
        <v>1242</v>
      </c>
      <c r="C69" s="624">
        <v>1541</v>
      </c>
      <c r="D69" s="625">
        <v>38600</v>
      </c>
      <c r="E69" s="429" t="s">
        <v>1253</v>
      </c>
      <c r="F69" s="626" t="s">
        <v>1254</v>
      </c>
      <c r="G69" s="627">
        <v>160000</v>
      </c>
    </row>
    <row r="70" spans="1:7" ht="11.25">
      <c r="A70" s="177">
        <f t="shared" si="2"/>
        <v>4</v>
      </c>
      <c r="B70" s="177" t="s">
        <v>1242</v>
      </c>
      <c r="C70" s="624">
        <v>22</v>
      </c>
      <c r="D70" s="625">
        <v>38376</v>
      </c>
      <c r="E70" s="429" t="s">
        <v>1253</v>
      </c>
      <c r="F70" s="626" t="s">
        <v>1255</v>
      </c>
      <c r="G70" s="627">
        <v>1885424.8</v>
      </c>
    </row>
    <row r="71" spans="1:7" ht="11.25">
      <c r="A71" s="177">
        <f t="shared" si="2"/>
        <v>5</v>
      </c>
      <c r="B71" s="177" t="s">
        <v>1242</v>
      </c>
      <c r="C71" s="624">
        <v>20</v>
      </c>
      <c r="D71" s="625">
        <v>38376</v>
      </c>
      <c r="E71" s="429" t="s">
        <v>1253</v>
      </c>
      <c r="F71" s="626" t="s">
        <v>1256</v>
      </c>
      <c r="G71" s="627">
        <v>1491264</v>
      </c>
    </row>
    <row r="72" spans="1:7" ht="11.25">
      <c r="A72" s="177">
        <f t="shared" si="2"/>
        <v>6</v>
      </c>
      <c r="B72" s="177" t="s">
        <v>1242</v>
      </c>
      <c r="C72" s="624">
        <v>113</v>
      </c>
      <c r="D72" s="625">
        <v>38404</v>
      </c>
      <c r="E72" s="429" t="s">
        <v>1253</v>
      </c>
      <c r="F72" s="626" t="s">
        <v>1257</v>
      </c>
      <c r="G72" s="627">
        <v>1723200</v>
      </c>
    </row>
    <row r="73" spans="1:7" ht="11.25">
      <c r="A73" s="177">
        <f t="shared" si="2"/>
        <v>7</v>
      </c>
      <c r="B73" s="177" t="s">
        <v>1242</v>
      </c>
      <c r="C73" s="624">
        <v>558</v>
      </c>
      <c r="D73" s="625">
        <v>38307</v>
      </c>
      <c r="E73" s="429" t="s">
        <v>1253</v>
      </c>
      <c r="F73" s="626" t="s">
        <v>1258</v>
      </c>
      <c r="G73" s="627">
        <v>1842792</v>
      </c>
    </row>
    <row r="74" spans="3:7" ht="11.25">
      <c r="C74" s="624"/>
      <c r="D74" s="624"/>
      <c r="E74" s="628" t="s">
        <v>1259</v>
      </c>
      <c r="F74" s="629" t="s">
        <v>1260</v>
      </c>
      <c r="G74" s="630">
        <v>407520</v>
      </c>
    </row>
    <row r="75" spans="1:7" ht="22.5">
      <c r="A75" s="177">
        <v>8</v>
      </c>
      <c r="B75" s="177" t="s">
        <v>1242</v>
      </c>
      <c r="C75" s="624">
        <v>358</v>
      </c>
      <c r="D75" s="625">
        <v>38442</v>
      </c>
      <c r="E75" s="631" t="s">
        <v>1261</v>
      </c>
      <c r="F75" s="626" t="s">
        <v>1262</v>
      </c>
      <c r="G75" s="627">
        <v>2000000</v>
      </c>
    </row>
    <row r="76" spans="1:7" ht="11.25">
      <c r="A76" s="177">
        <f aca="true" t="shared" si="3" ref="A76:A84">A75+1</f>
        <v>9</v>
      </c>
      <c r="B76" s="177" t="s">
        <v>1242</v>
      </c>
      <c r="C76" s="624">
        <v>1392</v>
      </c>
      <c r="D76" s="625">
        <v>38531</v>
      </c>
      <c r="E76" s="429" t="s">
        <v>1253</v>
      </c>
      <c r="F76" s="626" t="s">
        <v>797</v>
      </c>
      <c r="G76" s="627">
        <v>1999875.84</v>
      </c>
    </row>
    <row r="77" spans="1:7" ht="11.25">
      <c r="A77" s="177">
        <f t="shared" si="3"/>
        <v>10</v>
      </c>
      <c r="B77" s="177" t="s">
        <v>1242</v>
      </c>
      <c r="C77" s="624">
        <v>18</v>
      </c>
      <c r="D77" s="625">
        <v>38376</v>
      </c>
      <c r="E77" s="429" t="s">
        <v>1253</v>
      </c>
      <c r="F77" s="626" t="s">
        <v>1263</v>
      </c>
      <c r="G77" s="627">
        <v>1169249.6</v>
      </c>
    </row>
    <row r="78" spans="1:7" ht="11.25">
      <c r="A78" s="177">
        <f t="shared" si="3"/>
        <v>11</v>
      </c>
      <c r="B78" s="177" t="s">
        <v>1242</v>
      </c>
      <c r="C78" s="624">
        <v>473</v>
      </c>
      <c r="D78" s="625">
        <v>38286</v>
      </c>
      <c r="E78" s="429" t="s">
        <v>1253</v>
      </c>
      <c r="F78" s="626" t="s">
        <v>1264</v>
      </c>
      <c r="G78" s="627">
        <v>1544000</v>
      </c>
    </row>
    <row r="79" spans="1:7" ht="11.25">
      <c r="A79" s="177">
        <f t="shared" si="3"/>
        <v>12</v>
      </c>
      <c r="B79" s="177" t="s">
        <v>1242</v>
      </c>
      <c r="C79" s="624">
        <v>302</v>
      </c>
      <c r="D79" s="625">
        <v>38433</v>
      </c>
      <c r="E79" s="429" t="s">
        <v>1253</v>
      </c>
      <c r="F79" s="626" t="s">
        <v>903</v>
      </c>
      <c r="G79" s="627">
        <v>1022400</v>
      </c>
    </row>
    <row r="80" spans="1:7" ht="11.25">
      <c r="A80" s="177">
        <f t="shared" si="3"/>
        <v>13</v>
      </c>
      <c r="B80" s="177" t="s">
        <v>1242</v>
      </c>
      <c r="C80" s="624">
        <v>1539</v>
      </c>
      <c r="D80" s="625">
        <v>38597</v>
      </c>
      <c r="E80" s="429" t="s">
        <v>1253</v>
      </c>
      <c r="F80" s="626" t="s">
        <v>1265</v>
      </c>
      <c r="G80" s="627">
        <v>2000000</v>
      </c>
    </row>
    <row r="81" spans="1:7" ht="11.25">
      <c r="A81" s="177">
        <f t="shared" si="3"/>
        <v>14</v>
      </c>
      <c r="B81" s="177" t="s">
        <v>1242</v>
      </c>
      <c r="C81" s="624">
        <v>237</v>
      </c>
      <c r="D81" s="625">
        <v>38421</v>
      </c>
      <c r="E81" s="429" t="s">
        <v>1253</v>
      </c>
      <c r="F81" s="626" t="s">
        <v>1266</v>
      </c>
      <c r="G81" s="627">
        <v>1582272</v>
      </c>
    </row>
    <row r="82" spans="1:7" ht="11.25">
      <c r="A82" s="177">
        <f t="shared" si="3"/>
        <v>15</v>
      </c>
      <c r="B82" s="177" t="s">
        <v>1242</v>
      </c>
      <c r="C82" s="632">
        <v>261</v>
      </c>
      <c r="D82" s="633">
        <v>38170</v>
      </c>
      <c r="E82" s="442" t="s">
        <v>1237</v>
      </c>
      <c r="F82" s="626" t="s">
        <v>1267</v>
      </c>
      <c r="G82" s="627">
        <v>1311840</v>
      </c>
    </row>
    <row r="83" spans="1:7" ht="11.25">
      <c r="A83" s="177">
        <f t="shared" si="3"/>
        <v>16</v>
      </c>
      <c r="B83" s="177" t="s">
        <v>1242</v>
      </c>
      <c r="C83" s="624">
        <v>1477</v>
      </c>
      <c r="D83" s="625">
        <v>38558</v>
      </c>
      <c r="E83" s="442" t="s">
        <v>1237</v>
      </c>
      <c r="F83" s="626" t="s">
        <v>1268</v>
      </c>
      <c r="G83" s="627">
        <v>1538120</v>
      </c>
    </row>
    <row r="84" spans="1:7" ht="11.25">
      <c r="A84" s="177">
        <f t="shared" si="3"/>
        <v>17</v>
      </c>
      <c r="B84" s="177" t="s">
        <v>1242</v>
      </c>
      <c r="C84" s="624">
        <v>215</v>
      </c>
      <c r="D84" s="625">
        <v>38421</v>
      </c>
      <c r="E84" s="429" t="s">
        <v>1253</v>
      </c>
      <c r="F84" s="626" t="s">
        <v>803</v>
      </c>
      <c r="G84" s="627">
        <v>2000000</v>
      </c>
    </row>
    <row r="85" spans="3:7" ht="11.25">
      <c r="C85" s="634"/>
      <c r="D85" s="634"/>
      <c r="E85" s="463" t="s">
        <v>1269</v>
      </c>
      <c r="F85" s="629" t="s">
        <v>1270</v>
      </c>
      <c r="G85" s="630">
        <v>510000</v>
      </c>
    </row>
    <row r="86" spans="3:8" ht="11.25">
      <c r="C86" s="634"/>
      <c r="D86" s="634"/>
      <c r="E86" s="463" t="s">
        <v>1269</v>
      </c>
      <c r="F86" s="629" t="s">
        <v>1271</v>
      </c>
      <c r="G86" s="630">
        <v>510576</v>
      </c>
      <c r="H86" s="595"/>
    </row>
    <row r="87" spans="1:8" ht="11.25">
      <c r="A87" s="177">
        <v>18</v>
      </c>
      <c r="B87" s="177" t="s">
        <v>1242</v>
      </c>
      <c r="C87" s="624">
        <v>19</v>
      </c>
      <c r="D87" s="625">
        <v>38376</v>
      </c>
      <c r="E87" s="442" t="s">
        <v>1272</v>
      </c>
      <c r="F87" s="626" t="s">
        <v>1267</v>
      </c>
      <c r="G87" s="155"/>
      <c r="H87" s="595">
        <v>59032.8</v>
      </c>
    </row>
    <row r="88" spans="1:8" ht="11.25">
      <c r="A88" s="177">
        <f>A87+1</f>
        <v>19</v>
      </c>
      <c r="B88" s="177" t="s">
        <v>1242</v>
      </c>
      <c r="C88" s="624">
        <v>1510</v>
      </c>
      <c r="D88" s="625">
        <v>38561</v>
      </c>
      <c r="E88" s="442" t="s">
        <v>1272</v>
      </c>
      <c r="F88" s="626" t="s">
        <v>1255</v>
      </c>
      <c r="G88" s="155"/>
      <c r="H88" s="595">
        <v>565627.44</v>
      </c>
    </row>
    <row r="89" spans="1:8" ht="11.25">
      <c r="A89" s="177">
        <f>A88+1</f>
        <v>20</v>
      </c>
      <c r="B89" s="177" t="s">
        <v>1242</v>
      </c>
      <c r="C89" s="624">
        <v>1530</v>
      </c>
      <c r="D89" s="625">
        <v>38567</v>
      </c>
      <c r="E89" s="442" t="s">
        <v>1272</v>
      </c>
      <c r="F89" s="626" t="s">
        <v>1256</v>
      </c>
      <c r="G89" s="155"/>
      <c r="H89" s="595">
        <v>447379.2</v>
      </c>
    </row>
    <row r="90" spans="1:8" ht="11.25">
      <c r="A90" s="177">
        <f>A89+1</f>
        <v>21</v>
      </c>
      <c r="B90" s="177" t="s">
        <v>1242</v>
      </c>
      <c r="C90" s="624">
        <v>1528</v>
      </c>
      <c r="D90" s="625">
        <v>38567</v>
      </c>
      <c r="E90" s="442" t="s">
        <v>1272</v>
      </c>
      <c r="F90" s="626" t="s">
        <v>1263</v>
      </c>
      <c r="G90" s="155"/>
      <c r="H90" s="595">
        <v>350774.88</v>
      </c>
    </row>
    <row r="91" spans="1:8" ht="11.25">
      <c r="A91" s="177">
        <f>A90+1</f>
        <v>22</v>
      </c>
      <c r="B91" s="177" t="s">
        <v>1242</v>
      </c>
      <c r="C91" s="624">
        <v>1529</v>
      </c>
      <c r="D91" s="625">
        <v>38567</v>
      </c>
      <c r="E91" s="442" t="s">
        <v>1272</v>
      </c>
      <c r="F91" s="626" t="s">
        <v>1264</v>
      </c>
      <c r="G91" s="155"/>
      <c r="H91" s="595">
        <v>463200</v>
      </c>
    </row>
    <row r="92" spans="1:8" ht="11.25">
      <c r="A92" s="177">
        <f>A91+1</f>
        <v>23</v>
      </c>
      <c r="B92" s="177" t="s">
        <v>1242</v>
      </c>
      <c r="C92" s="624">
        <v>1531</v>
      </c>
      <c r="D92" s="625">
        <v>38567</v>
      </c>
      <c r="E92" s="442" t="s">
        <v>1272</v>
      </c>
      <c r="F92" s="626" t="s">
        <v>803</v>
      </c>
      <c r="G92" s="155"/>
      <c r="H92" s="595">
        <v>600000</v>
      </c>
    </row>
    <row r="93" spans="3:8" ht="12">
      <c r="C93" s="624"/>
      <c r="D93" s="625"/>
      <c r="E93" s="442"/>
      <c r="F93" s="635"/>
      <c r="G93" s="155"/>
      <c r="H93" s="595"/>
    </row>
    <row r="94" spans="1:9" s="613" customFormat="1" ht="12">
      <c r="A94" s="585"/>
      <c r="B94" s="585"/>
      <c r="C94" s="636"/>
      <c r="D94" s="637"/>
      <c r="E94" s="491" t="s">
        <v>1250</v>
      </c>
      <c r="F94" s="638"/>
      <c r="G94" s="614">
        <f>SUM(G66:G92)</f>
        <v>24698534.240000002</v>
      </c>
      <c r="H94" s="614">
        <f>SUM(H66:H92)</f>
        <v>2486014.32</v>
      </c>
      <c r="I94" s="615">
        <f>H94/G94</f>
        <v>0.10065432611680358</v>
      </c>
    </row>
    <row r="95" spans="1:5" s="620" customFormat="1" ht="11.25">
      <c r="A95" s="639"/>
      <c r="B95" s="639"/>
      <c r="C95" s="639"/>
      <c r="D95" s="639"/>
      <c r="E95" s="640"/>
    </row>
    <row r="97" spans="1:5" s="622" customFormat="1" ht="11.25">
      <c r="A97" s="428"/>
      <c r="B97" s="428" t="s">
        <v>1273</v>
      </c>
      <c r="C97" s="428"/>
      <c r="D97" s="428"/>
      <c r="E97" s="621"/>
    </row>
    <row r="98" spans="1:8" s="622" customFormat="1" ht="11.25">
      <c r="A98" s="405">
        <v>1</v>
      </c>
      <c r="B98" s="428"/>
      <c r="C98" s="405">
        <v>69</v>
      </c>
      <c r="D98" s="416">
        <v>38044</v>
      </c>
      <c r="E98" s="429" t="s">
        <v>1253</v>
      </c>
      <c r="F98" s="595" t="s">
        <v>1274</v>
      </c>
      <c r="G98" s="641">
        <v>427545.6</v>
      </c>
      <c r="H98" s="642"/>
    </row>
    <row r="99" spans="1:8" s="622" customFormat="1" ht="11.25">
      <c r="A99" s="405">
        <f>A98+1</f>
        <v>2</v>
      </c>
      <c r="B99" s="428"/>
      <c r="C99" s="405">
        <v>70</v>
      </c>
      <c r="D99" s="416">
        <v>38044</v>
      </c>
      <c r="E99" s="429" t="s">
        <v>1253</v>
      </c>
      <c r="F99" s="595" t="s">
        <v>1275</v>
      </c>
      <c r="G99" s="641">
        <v>2880000</v>
      </c>
      <c r="H99" s="642"/>
    </row>
    <row r="100" spans="1:8" s="622" customFormat="1" ht="11.25">
      <c r="A100" s="405">
        <f>A99+1</f>
        <v>3</v>
      </c>
      <c r="B100" s="428"/>
      <c r="C100" s="405">
        <v>68</v>
      </c>
      <c r="D100" s="416">
        <v>38044</v>
      </c>
      <c r="E100" s="429" t="s">
        <v>1253</v>
      </c>
      <c r="F100" s="595" t="s">
        <v>1276</v>
      </c>
      <c r="G100" s="641">
        <v>3716800</v>
      </c>
      <c r="H100" s="642"/>
    </row>
    <row r="101" spans="1:8" ht="11.25">
      <c r="A101" s="405">
        <f>A100+1</f>
        <v>4</v>
      </c>
      <c r="C101" s="624">
        <v>1410</v>
      </c>
      <c r="D101" s="625">
        <v>38540</v>
      </c>
      <c r="E101" s="290" t="s">
        <v>1277</v>
      </c>
      <c r="F101" s="595" t="s">
        <v>1274</v>
      </c>
      <c r="G101" s="595"/>
      <c r="H101" s="595">
        <v>128263.68</v>
      </c>
    </row>
    <row r="102" spans="1:8" ht="11.25">
      <c r="A102" s="405">
        <f>A101+1</f>
        <v>5</v>
      </c>
      <c r="C102" s="624">
        <v>1479</v>
      </c>
      <c r="D102" s="625">
        <v>38558</v>
      </c>
      <c r="E102" s="290" t="s">
        <v>1277</v>
      </c>
      <c r="F102" s="595" t="s">
        <v>1275</v>
      </c>
      <c r="G102" s="595"/>
      <c r="H102" s="595">
        <v>864000</v>
      </c>
    </row>
    <row r="103" spans="1:8" ht="11.25">
      <c r="A103" s="405">
        <f>A102+1</f>
        <v>6</v>
      </c>
      <c r="C103" s="624">
        <v>1478</v>
      </c>
      <c r="D103" s="625">
        <v>38558</v>
      </c>
      <c r="E103" s="290" t="s">
        <v>1277</v>
      </c>
      <c r="F103" s="595" t="s">
        <v>1276</v>
      </c>
      <c r="G103" s="595"/>
      <c r="H103" s="595">
        <v>1115040</v>
      </c>
    </row>
    <row r="105" spans="1:9" s="613" customFormat="1" ht="11.25">
      <c r="A105" s="585"/>
      <c r="B105" s="585"/>
      <c r="C105" s="585"/>
      <c r="D105" s="585"/>
      <c r="E105" s="491" t="s">
        <v>1250</v>
      </c>
      <c r="G105" s="614">
        <f>SUM(G98:G104)</f>
        <v>7024345.6</v>
      </c>
      <c r="H105" s="614">
        <f>SUM(H98:H104)</f>
        <v>2107303.6799999997</v>
      </c>
      <c r="I105" s="615">
        <f>H105/G105</f>
        <v>0.3</v>
      </c>
    </row>
    <row r="129" ht="11.25">
      <c r="E129" s="425" t="s">
        <v>426</v>
      </c>
    </row>
  </sheetData>
  <sheetProtection/>
  <mergeCells count="7">
    <mergeCell ref="G1:H1"/>
    <mergeCell ref="A1:A2"/>
    <mergeCell ref="B1:B2"/>
    <mergeCell ref="C1:C2"/>
    <mergeCell ref="D1:D2"/>
    <mergeCell ref="E1:E2"/>
    <mergeCell ref="F1:F2"/>
  </mergeCells>
  <hyperlinks>
    <hyperlink ref="E129" r:id="rId1" display="ara.puglia@tiscali.it"/>
  </hyperlinks>
  <printOptions gridLines="1" horizontalCentered="1"/>
  <pageMargins left="0.13" right="0.14" top="0.33" bottom="0.35" header="0.15" footer="0.26"/>
  <pageSetup horizontalDpi="600" verticalDpi="600" orientation="portrait" paperSize="9" scale="95" r:id="rId2"/>
</worksheet>
</file>

<file path=xl/worksheets/sheet12.xml><?xml version="1.0" encoding="utf-8"?>
<worksheet xmlns="http://schemas.openxmlformats.org/spreadsheetml/2006/main" xmlns:r="http://schemas.openxmlformats.org/officeDocument/2006/relationships">
  <sheetPr>
    <pageSetUpPr fitToPage="1"/>
  </sheetPr>
  <dimension ref="A2:R37"/>
  <sheetViews>
    <sheetView zoomScalePageLayoutView="0" workbookViewId="0" topLeftCell="A1">
      <selection activeCell="H8" sqref="H8"/>
    </sheetView>
  </sheetViews>
  <sheetFormatPr defaultColWidth="9.140625" defaultRowHeight="12.75"/>
  <cols>
    <col min="1" max="1" width="4.140625" style="744" bestFit="1" customWidth="1"/>
    <col min="2" max="2" width="40.140625" style="750" customWidth="1"/>
    <col min="3" max="3" width="28.00390625" style="744" customWidth="1"/>
    <col min="4" max="6" width="11.7109375" style="744" bestFit="1" customWidth="1"/>
    <col min="7" max="7" width="10.421875" style="744" bestFit="1" customWidth="1"/>
    <col min="8" max="8" width="10.421875" style="746" bestFit="1" customWidth="1"/>
    <col min="9" max="11" width="5.7109375" style="747" customWidth="1"/>
    <col min="12" max="13" width="8.7109375" style="748" customWidth="1"/>
    <col min="14" max="14" width="10.140625" style="749" customWidth="1"/>
    <col min="15" max="15" width="12.140625" style="749" customWidth="1"/>
    <col min="16" max="16" width="16.7109375" style="749" customWidth="1"/>
    <col min="17" max="18" width="10.8515625" style="744" customWidth="1"/>
    <col min="19" max="16384" width="9.140625" style="744" customWidth="1"/>
  </cols>
  <sheetData>
    <row r="2" ht="14.25">
      <c r="B2" s="745" t="s">
        <v>308</v>
      </c>
    </row>
    <row r="5" spans="1:18" ht="42" customHeight="1">
      <c r="A5" s="1326" t="s">
        <v>665</v>
      </c>
      <c r="B5" s="1328" t="s">
        <v>309</v>
      </c>
      <c r="C5" s="1330" t="s">
        <v>310</v>
      </c>
      <c r="D5" s="1332" t="s">
        <v>1236</v>
      </c>
      <c r="E5" s="1333"/>
      <c r="F5" s="1334"/>
      <c r="G5" s="1316" t="s">
        <v>311</v>
      </c>
      <c r="H5" s="1317"/>
      <c r="I5" s="1318" t="s">
        <v>312</v>
      </c>
      <c r="J5" s="1319"/>
      <c r="K5" s="1320"/>
      <c r="L5" s="1318" t="s">
        <v>313</v>
      </c>
      <c r="M5" s="1319"/>
      <c r="N5" s="1320"/>
      <c r="O5" s="1321" t="s">
        <v>1365</v>
      </c>
      <c r="P5" s="1323" t="s">
        <v>314</v>
      </c>
      <c r="Q5" s="1324"/>
      <c r="R5" s="1325"/>
    </row>
    <row r="6" spans="1:18" ht="52.5">
      <c r="A6" s="1327"/>
      <c r="B6" s="1329"/>
      <c r="C6" s="1331"/>
      <c r="D6" s="751" t="s">
        <v>315</v>
      </c>
      <c r="E6" s="751" t="s">
        <v>316</v>
      </c>
      <c r="F6" s="751" t="s">
        <v>395</v>
      </c>
      <c r="G6" s="752" t="s">
        <v>317</v>
      </c>
      <c r="H6" s="753" t="s">
        <v>318</v>
      </c>
      <c r="I6" s="754" t="s">
        <v>319</v>
      </c>
      <c r="J6" s="754" t="s">
        <v>320</v>
      </c>
      <c r="K6" s="755" t="s">
        <v>321</v>
      </c>
      <c r="L6" s="755" t="s">
        <v>322</v>
      </c>
      <c r="M6" s="755" t="s">
        <v>323</v>
      </c>
      <c r="N6" s="755" t="s">
        <v>324</v>
      </c>
      <c r="O6" s="1322"/>
      <c r="P6" s="756" t="s">
        <v>325</v>
      </c>
      <c r="Q6" s="756" t="s">
        <v>326</v>
      </c>
      <c r="R6" s="756" t="s">
        <v>327</v>
      </c>
    </row>
    <row r="7" spans="1:18" ht="43.5" customHeight="1">
      <c r="A7" s="757">
        <v>50</v>
      </c>
      <c r="B7" s="758" t="s">
        <v>126</v>
      </c>
      <c r="C7" s="759" t="s">
        <v>987</v>
      </c>
      <c r="D7" s="760">
        <v>1024293</v>
      </c>
      <c r="E7" s="760">
        <f>+F7-D7</f>
        <v>2820973</v>
      </c>
      <c r="F7" s="760">
        <v>3845266</v>
      </c>
      <c r="G7" s="761">
        <v>38141</v>
      </c>
      <c r="H7" s="762">
        <v>39236</v>
      </c>
      <c r="I7" s="763">
        <v>36</v>
      </c>
      <c r="J7" s="763"/>
      <c r="K7" s="763">
        <f aca="true" t="shared" si="0" ref="K7:K28">+J7+I7</f>
        <v>36</v>
      </c>
      <c r="L7" s="763">
        <v>27</v>
      </c>
      <c r="M7" s="764">
        <f aca="true" t="shared" si="1" ref="M7:M28">+L7/K7</f>
        <v>0.75</v>
      </c>
      <c r="N7" s="764">
        <v>0.1</v>
      </c>
      <c r="O7" s="765">
        <f aca="true" t="shared" si="2" ref="O7:O28">+N7/M7</f>
        <v>0.13333333333333333</v>
      </c>
      <c r="P7" s="766" t="s">
        <v>1361</v>
      </c>
      <c r="Q7" s="767" t="s">
        <v>328</v>
      </c>
      <c r="R7" s="768" t="s">
        <v>329</v>
      </c>
    </row>
    <row r="8" spans="1:18" ht="59.25" customHeight="1">
      <c r="A8" s="757">
        <v>9</v>
      </c>
      <c r="B8" s="758" t="s">
        <v>864</v>
      </c>
      <c r="C8" s="759" t="s">
        <v>865</v>
      </c>
      <c r="D8" s="760">
        <v>496720</v>
      </c>
      <c r="E8" s="760">
        <f aca="true" t="shared" si="3" ref="E8:E28">+F8-D8</f>
        <v>1260352</v>
      </c>
      <c r="F8" s="760">
        <v>1757072</v>
      </c>
      <c r="G8" s="762">
        <v>38201</v>
      </c>
      <c r="H8" s="762">
        <v>39480</v>
      </c>
      <c r="I8" s="769">
        <v>36</v>
      </c>
      <c r="J8" s="769">
        <v>6</v>
      </c>
      <c r="K8" s="769">
        <f t="shared" si="0"/>
        <v>42</v>
      </c>
      <c r="L8" s="763">
        <v>25</v>
      </c>
      <c r="M8" s="764">
        <f t="shared" si="1"/>
        <v>0.5952380952380952</v>
      </c>
      <c r="N8" s="764">
        <v>0.12</v>
      </c>
      <c r="O8" s="765">
        <f t="shared" si="2"/>
        <v>0.2016</v>
      </c>
      <c r="P8" s="766" t="s">
        <v>1362</v>
      </c>
      <c r="Q8" s="767" t="s">
        <v>1364</v>
      </c>
      <c r="R8" s="768" t="s">
        <v>1363</v>
      </c>
    </row>
    <row r="9" spans="1:18" ht="33.75">
      <c r="A9" s="757">
        <v>30</v>
      </c>
      <c r="B9" s="758" t="s">
        <v>1105</v>
      </c>
      <c r="C9" s="759" t="s">
        <v>900</v>
      </c>
      <c r="D9" s="760">
        <v>320366</v>
      </c>
      <c r="E9" s="760">
        <f t="shared" si="3"/>
        <v>1816554</v>
      </c>
      <c r="F9" s="760">
        <v>2136920</v>
      </c>
      <c r="G9" s="761">
        <v>38316</v>
      </c>
      <c r="H9" s="762">
        <v>39411</v>
      </c>
      <c r="I9" s="763">
        <v>36</v>
      </c>
      <c r="J9" s="763"/>
      <c r="K9" s="763">
        <f t="shared" si="0"/>
        <v>36</v>
      </c>
      <c r="L9" s="763">
        <v>22</v>
      </c>
      <c r="M9" s="764">
        <f t="shared" si="1"/>
        <v>0.6111111111111112</v>
      </c>
      <c r="N9" s="764">
        <v>0.1</v>
      </c>
      <c r="O9" s="765">
        <f t="shared" si="2"/>
        <v>0.16363636363636364</v>
      </c>
      <c r="P9" s="766" t="s">
        <v>1366</v>
      </c>
      <c r="Q9" s="767" t="s">
        <v>1367</v>
      </c>
      <c r="R9" s="768" t="s">
        <v>329</v>
      </c>
    </row>
    <row r="10" spans="1:16" ht="22.5">
      <c r="A10" s="757">
        <v>25</v>
      </c>
      <c r="B10" s="758" t="s">
        <v>834</v>
      </c>
      <c r="C10" s="759" t="s">
        <v>835</v>
      </c>
      <c r="D10" s="760">
        <v>1140479</v>
      </c>
      <c r="E10" s="760">
        <f t="shared" si="3"/>
        <v>934000</v>
      </c>
      <c r="F10" s="760">
        <v>2074479</v>
      </c>
      <c r="G10" s="762">
        <v>38139</v>
      </c>
      <c r="H10" s="762">
        <v>39234</v>
      </c>
      <c r="I10" s="763">
        <v>36</v>
      </c>
      <c r="J10" s="763"/>
      <c r="K10" s="763">
        <f t="shared" si="0"/>
        <v>36</v>
      </c>
      <c r="L10" s="763">
        <v>27</v>
      </c>
      <c r="M10" s="764">
        <f t="shared" si="1"/>
        <v>0.75</v>
      </c>
      <c r="N10" s="764">
        <v>0.14</v>
      </c>
      <c r="O10" s="765">
        <f t="shared" si="2"/>
        <v>0.18666666666666668</v>
      </c>
      <c r="P10" s="770"/>
    </row>
    <row r="11" spans="1:16" ht="22.5">
      <c r="A11" s="771">
        <v>32</v>
      </c>
      <c r="B11" s="772" t="s">
        <v>812</v>
      </c>
      <c r="C11" s="759" t="s">
        <v>749</v>
      </c>
      <c r="D11" s="760">
        <v>535500</v>
      </c>
      <c r="E11" s="760">
        <f t="shared" si="3"/>
        <v>398700</v>
      </c>
      <c r="F11" s="760">
        <v>934200</v>
      </c>
      <c r="G11" s="762">
        <v>38139</v>
      </c>
      <c r="H11" s="761">
        <v>39052</v>
      </c>
      <c r="I11" s="763">
        <v>30</v>
      </c>
      <c r="J11" s="763"/>
      <c r="K11" s="769">
        <f t="shared" si="0"/>
        <v>30</v>
      </c>
      <c r="L11" s="763">
        <v>27</v>
      </c>
      <c r="M11" s="764">
        <f t="shared" si="1"/>
        <v>0.9</v>
      </c>
      <c r="N11" s="764">
        <v>0.17</v>
      </c>
      <c r="O11" s="765">
        <f t="shared" si="2"/>
        <v>0.18888888888888888</v>
      </c>
      <c r="P11" s="765"/>
    </row>
    <row r="12" spans="1:16" ht="11.25">
      <c r="A12" s="757">
        <v>4</v>
      </c>
      <c r="B12" s="758" t="s">
        <v>882</v>
      </c>
      <c r="C12" s="759" t="s">
        <v>525</v>
      </c>
      <c r="D12" s="760">
        <v>670360</v>
      </c>
      <c r="E12" s="760">
        <f t="shared" si="3"/>
        <v>1060200</v>
      </c>
      <c r="F12" s="760">
        <v>1730560</v>
      </c>
      <c r="G12" s="762">
        <v>38289</v>
      </c>
      <c r="H12" s="762">
        <v>39384</v>
      </c>
      <c r="I12" s="763">
        <v>30</v>
      </c>
      <c r="J12" s="763">
        <v>6</v>
      </c>
      <c r="K12" s="763">
        <f t="shared" si="0"/>
        <v>36</v>
      </c>
      <c r="L12" s="763">
        <v>23</v>
      </c>
      <c r="M12" s="764">
        <f t="shared" si="1"/>
        <v>0.6388888888888888</v>
      </c>
      <c r="N12" s="764">
        <v>0.14</v>
      </c>
      <c r="O12" s="765">
        <f t="shared" si="2"/>
        <v>0.21913043478260874</v>
      </c>
      <c r="P12" s="766"/>
    </row>
    <row r="13" spans="1:16" ht="11.25">
      <c r="A13" s="757">
        <v>3</v>
      </c>
      <c r="B13" s="758" t="s">
        <v>791</v>
      </c>
      <c r="C13" s="759" t="s">
        <v>792</v>
      </c>
      <c r="D13" s="760">
        <v>801075</v>
      </c>
      <c r="E13" s="760">
        <f t="shared" si="3"/>
        <v>3044992.41</v>
      </c>
      <c r="F13" s="760">
        <v>3846067.41</v>
      </c>
      <c r="G13" s="762">
        <v>38117</v>
      </c>
      <c r="H13" s="762">
        <v>39212</v>
      </c>
      <c r="I13" s="763">
        <v>36</v>
      </c>
      <c r="J13" s="763"/>
      <c r="K13" s="763">
        <f t="shared" si="0"/>
        <v>36</v>
      </c>
      <c r="L13" s="763">
        <v>28</v>
      </c>
      <c r="M13" s="764">
        <f t="shared" si="1"/>
        <v>0.7777777777777778</v>
      </c>
      <c r="N13" s="764">
        <v>0.18</v>
      </c>
      <c r="O13" s="765">
        <f t="shared" si="2"/>
        <v>0.23142857142857143</v>
      </c>
      <c r="P13" s="770"/>
    </row>
    <row r="14" spans="1:16" ht="16.5" customHeight="1">
      <c r="A14" s="757">
        <v>12</v>
      </c>
      <c r="B14" s="758" t="s">
        <v>907</v>
      </c>
      <c r="C14" s="759" t="s">
        <v>908</v>
      </c>
      <c r="D14" s="760">
        <v>57595</v>
      </c>
      <c r="E14" s="760">
        <f t="shared" si="3"/>
        <v>206457.5</v>
      </c>
      <c r="F14" s="760">
        <v>264052.5</v>
      </c>
      <c r="G14" s="762">
        <v>38293</v>
      </c>
      <c r="H14" s="762">
        <v>39204</v>
      </c>
      <c r="I14" s="763">
        <v>24</v>
      </c>
      <c r="J14" s="763">
        <v>6</v>
      </c>
      <c r="K14" s="763">
        <f t="shared" si="0"/>
        <v>30</v>
      </c>
      <c r="L14" s="763">
        <v>22</v>
      </c>
      <c r="M14" s="764">
        <f t="shared" si="1"/>
        <v>0.7333333333333333</v>
      </c>
      <c r="N14" s="764">
        <v>0.21</v>
      </c>
      <c r="O14" s="765">
        <f t="shared" si="2"/>
        <v>0.2863636363636364</v>
      </c>
      <c r="P14" s="770"/>
    </row>
    <row r="15" spans="1:16" ht="22.5">
      <c r="A15" s="757">
        <v>34</v>
      </c>
      <c r="B15" s="758" t="s">
        <v>816</v>
      </c>
      <c r="C15" s="759" t="s">
        <v>750</v>
      </c>
      <c r="D15" s="760">
        <v>1396320</v>
      </c>
      <c r="E15" s="760">
        <f t="shared" si="3"/>
        <v>1187716</v>
      </c>
      <c r="F15" s="760">
        <v>2584036</v>
      </c>
      <c r="G15" s="762">
        <v>38293</v>
      </c>
      <c r="H15" s="762">
        <v>39388</v>
      </c>
      <c r="I15" s="763">
        <v>36</v>
      </c>
      <c r="J15" s="763"/>
      <c r="K15" s="763">
        <f t="shared" si="0"/>
        <v>36</v>
      </c>
      <c r="L15" s="763">
        <v>22</v>
      </c>
      <c r="M15" s="764">
        <f t="shared" si="1"/>
        <v>0.6111111111111112</v>
      </c>
      <c r="N15" s="773">
        <v>0.18</v>
      </c>
      <c r="O15" s="765">
        <f t="shared" si="2"/>
        <v>0.2945454545454545</v>
      </c>
      <c r="P15" s="770"/>
    </row>
    <row r="16" spans="1:16" ht="11.25">
      <c r="A16" s="757">
        <v>31</v>
      </c>
      <c r="B16" s="758" t="s">
        <v>884</v>
      </c>
      <c r="C16" s="759" t="s">
        <v>1193</v>
      </c>
      <c r="D16" s="760">
        <v>72000</v>
      </c>
      <c r="E16" s="760">
        <f t="shared" si="3"/>
        <v>366880</v>
      </c>
      <c r="F16" s="760">
        <v>438880</v>
      </c>
      <c r="G16" s="761">
        <v>38308</v>
      </c>
      <c r="H16" s="762">
        <v>39219</v>
      </c>
      <c r="I16" s="769">
        <v>24</v>
      </c>
      <c r="J16" s="769">
        <v>6</v>
      </c>
      <c r="K16" s="769">
        <f t="shared" si="0"/>
        <v>30</v>
      </c>
      <c r="L16" s="763">
        <v>22</v>
      </c>
      <c r="M16" s="764">
        <f t="shared" si="1"/>
        <v>0.7333333333333333</v>
      </c>
      <c r="N16" s="764">
        <v>0.25</v>
      </c>
      <c r="O16" s="765">
        <f t="shared" si="2"/>
        <v>0.34090909090909094</v>
      </c>
      <c r="P16" s="765"/>
    </row>
    <row r="17" spans="1:16" ht="11.25">
      <c r="A17" s="771">
        <v>10</v>
      </c>
      <c r="B17" s="772" t="s">
        <v>851</v>
      </c>
      <c r="C17" s="774" t="s">
        <v>852</v>
      </c>
      <c r="D17" s="775">
        <v>341650.98</v>
      </c>
      <c r="E17" s="760">
        <f>+F17-D17</f>
        <v>377879.02</v>
      </c>
      <c r="F17" s="775">
        <v>719530</v>
      </c>
      <c r="G17" s="762">
        <v>38231</v>
      </c>
      <c r="H17" s="762">
        <v>39142</v>
      </c>
      <c r="I17" s="763">
        <v>30</v>
      </c>
      <c r="J17" s="763"/>
      <c r="K17" s="763">
        <f t="shared" si="0"/>
        <v>30</v>
      </c>
      <c r="L17" s="763">
        <v>24</v>
      </c>
      <c r="M17" s="764">
        <f t="shared" si="1"/>
        <v>0.8</v>
      </c>
      <c r="N17" s="773">
        <v>0.3</v>
      </c>
      <c r="O17" s="765">
        <f t="shared" si="2"/>
        <v>0.37499999999999994</v>
      </c>
      <c r="P17" s="770"/>
    </row>
    <row r="18" spans="1:16" ht="11.25">
      <c r="A18" s="757">
        <v>8</v>
      </c>
      <c r="B18" s="758" t="s">
        <v>857</v>
      </c>
      <c r="C18" s="759" t="s">
        <v>858</v>
      </c>
      <c r="D18" s="760">
        <v>274000</v>
      </c>
      <c r="E18" s="760">
        <f t="shared" si="3"/>
        <v>2148000</v>
      </c>
      <c r="F18" s="760">
        <v>2422000</v>
      </c>
      <c r="G18" s="762">
        <v>38330</v>
      </c>
      <c r="H18" s="762">
        <v>39425</v>
      </c>
      <c r="I18" s="763">
        <v>36</v>
      </c>
      <c r="J18" s="763"/>
      <c r="K18" s="763">
        <f t="shared" si="0"/>
        <v>36</v>
      </c>
      <c r="L18" s="763">
        <v>21</v>
      </c>
      <c r="M18" s="764">
        <f t="shared" si="1"/>
        <v>0.5833333333333334</v>
      </c>
      <c r="N18" s="764">
        <v>0.22</v>
      </c>
      <c r="O18" s="765">
        <f t="shared" si="2"/>
        <v>0.3771428571428571</v>
      </c>
      <c r="P18" s="770"/>
    </row>
    <row r="19" spans="1:16" ht="22.5">
      <c r="A19" s="757">
        <v>15</v>
      </c>
      <c r="B19" s="758" t="s">
        <v>1142</v>
      </c>
      <c r="C19" s="759" t="s">
        <v>878</v>
      </c>
      <c r="D19" s="760">
        <v>182160</v>
      </c>
      <c r="E19" s="760">
        <f t="shared" si="3"/>
        <v>814320</v>
      </c>
      <c r="F19" s="760">
        <v>996480</v>
      </c>
      <c r="G19" s="762">
        <v>37974</v>
      </c>
      <c r="H19" s="762">
        <v>39252</v>
      </c>
      <c r="I19" s="763">
        <v>36</v>
      </c>
      <c r="J19" s="763">
        <v>6</v>
      </c>
      <c r="K19" s="769">
        <f t="shared" si="0"/>
        <v>42</v>
      </c>
      <c r="L19" s="763">
        <v>33</v>
      </c>
      <c r="M19" s="764">
        <f t="shared" si="1"/>
        <v>0.7857142857142857</v>
      </c>
      <c r="N19" s="764">
        <v>0.31</v>
      </c>
      <c r="O19" s="765">
        <f t="shared" si="2"/>
        <v>0.39454545454545453</v>
      </c>
      <c r="P19" s="765"/>
    </row>
    <row r="20" spans="1:16" ht="22.5">
      <c r="A20" s="757">
        <v>41</v>
      </c>
      <c r="B20" s="758" t="s">
        <v>808</v>
      </c>
      <c r="C20" s="759" t="s">
        <v>752</v>
      </c>
      <c r="D20" s="760">
        <v>915000</v>
      </c>
      <c r="E20" s="760">
        <f t="shared" si="3"/>
        <v>585000</v>
      </c>
      <c r="F20" s="760">
        <v>1500000</v>
      </c>
      <c r="G20" s="762">
        <v>38559</v>
      </c>
      <c r="H20" s="762">
        <v>39108</v>
      </c>
      <c r="I20" s="763">
        <v>12</v>
      </c>
      <c r="J20" s="763">
        <v>6</v>
      </c>
      <c r="K20" s="769">
        <f t="shared" si="0"/>
        <v>18</v>
      </c>
      <c r="L20" s="763">
        <v>14</v>
      </c>
      <c r="M20" s="764">
        <f t="shared" si="1"/>
        <v>0.7777777777777778</v>
      </c>
      <c r="N20" s="764">
        <v>0.32</v>
      </c>
      <c r="O20" s="765">
        <f t="shared" si="2"/>
        <v>0.4114285714285714</v>
      </c>
      <c r="P20" s="765"/>
    </row>
    <row r="21" spans="1:16" ht="11.25">
      <c r="A21" s="757">
        <v>29</v>
      </c>
      <c r="B21" s="758" t="s">
        <v>290</v>
      </c>
      <c r="C21" s="759" t="s">
        <v>748</v>
      </c>
      <c r="D21" s="760">
        <v>67470</v>
      </c>
      <c r="E21" s="760">
        <f t="shared" si="3"/>
        <v>1810799</v>
      </c>
      <c r="F21" s="760">
        <v>1878269</v>
      </c>
      <c r="G21" s="762">
        <v>38077</v>
      </c>
      <c r="H21" s="762">
        <v>39172</v>
      </c>
      <c r="I21" s="763">
        <v>36</v>
      </c>
      <c r="J21" s="763"/>
      <c r="K21" s="763">
        <f t="shared" si="0"/>
        <v>36</v>
      </c>
      <c r="L21" s="763">
        <v>29</v>
      </c>
      <c r="M21" s="764">
        <f t="shared" si="1"/>
        <v>0.8055555555555556</v>
      </c>
      <c r="N21" s="773">
        <v>0.42</v>
      </c>
      <c r="O21" s="765">
        <f t="shared" si="2"/>
        <v>0.5213793103448275</v>
      </c>
      <c r="P21" s="770"/>
    </row>
    <row r="22" spans="1:16" ht="11.25">
      <c r="A22" s="757">
        <v>28</v>
      </c>
      <c r="B22" s="758" t="s">
        <v>826</v>
      </c>
      <c r="C22" s="776" t="s">
        <v>747</v>
      </c>
      <c r="D22" s="777">
        <v>2688633</v>
      </c>
      <c r="E22" s="760">
        <f t="shared" si="3"/>
        <v>1153437</v>
      </c>
      <c r="F22" s="777">
        <v>3842070</v>
      </c>
      <c r="G22" s="762">
        <v>38231</v>
      </c>
      <c r="H22" s="762">
        <v>39326</v>
      </c>
      <c r="I22" s="763">
        <v>36</v>
      </c>
      <c r="J22" s="763"/>
      <c r="K22" s="763">
        <f t="shared" si="0"/>
        <v>36</v>
      </c>
      <c r="L22" s="763">
        <v>24</v>
      </c>
      <c r="M22" s="764">
        <f t="shared" si="1"/>
        <v>0.6666666666666666</v>
      </c>
      <c r="N22" s="764">
        <v>0.35</v>
      </c>
      <c r="O22" s="765">
        <f t="shared" si="2"/>
        <v>0.525</v>
      </c>
      <c r="P22" s="770"/>
    </row>
    <row r="23" spans="1:16" ht="11.25">
      <c r="A23" s="757">
        <v>27</v>
      </c>
      <c r="B23" s="758" t="s">
        <v>1096</v>
      </c>
      <c r="C23" s="759" t="s">
        <v>855</v>
      </c>
      <c r="D23" s="760">
        <v>123500</v>
      </c>
      <c r="E23" s="760">
        <f t="shared" si="3"/>
        <v>670000</v>
      </c>
      <c r="F23" s="760">
        <v>793500</v>
      </c>
      <c r="G23" s="761">
        <v>38314</v>
      </c>
      <c r="H23" s="762">
        <v>39225</v>
      </c>
      <c r="I23" s="763">
        <v>24</v>
      </c>
      <c r="J23" s="763">
        <v>6</v>
      </c>
      <c r="K23" s="769">
        <f t="shared" si="0"/>
        <v>30</v>
      </c>
      <c r="L23" s="763">
        <v>22</v>
      </c>
      <c r="M23" s="764">
        <f t="shared" si="1"/>
        <v>0.7333333333333333</v>
      </c>
      <c r="N23" s="764">
        <v>0.42</v>
      </c>
      <c r="O23" s="765">
        <f t="shared" si="2"/>
        <v>0.5727272727272728</v>
      </c>
      <c r="P23" s="765"/>
    </row>
    <row r="24" spans="1:16" ht="22.5">
      <c r="A24" s="757">
        <v>39</v>
      </c>
      <c r="B24" s="758" t="s">
        <v>847</v>
      </c>
      <c r="C24" s="759" t="s">
        <v>751</v>
      </c>
      <c r="D24" s="760">
        <v>221500</v>
      </c>
      <c r="E24" s="760">
        <f t="shared" si="3"/>
        <v>438425</v>
      </c>
      <c r="F24" s="760">
        <v>659925</v>
      </c>
      <c r="G24" s="762">
        <v>37988</v>
      </c>
      <c r="H24" s="762">
        <v>39083</v>
      </c>
      <c r="I24" s="763">
        <v>36</v>
      </c>
      <c r="J24" s="763"/>
      <c r="K24" s="763">
        <f t="shared" si="0"/>
        <v>36</v>
      </c>
      <c r="L24" s="763">
        <v>32</v>
      </c>
      <c r="M24" s="764">
        <f t="shared" si="1"/>
        <v>0.8888888888888888</v>
      </c>
      <c r="N24" s="773">
        <v>0.53</v>
      </c>
      <c r="O24" s="765">
        <f t="shared" si="2"/>
        <v>0.5962500000000001</v>
      </c>
      <c r="P24" s="770"/>
    </row>
    <row r="25" spans="1:16" ht="22.5">
      <c r="A25" s="778">
        <v>14</v>
      </c>
      <c r="B25" s="758" t="s">
        <v>330</v>
      </c>
      <c r="C25" s="759" t="s">
        <v>483</v>
      </c>
      <c r="D25" s="760">
        <v>902000</v>
      </c>
      <c r="E25" s="760">
        <f t="shared" si="3"/>
        <v>2636950</v>
      </c>
      <c r="F25" s="760">
        <v>3538950</v>
      </c>
      <c r="G25" s="779">
        <v>37935</v>
      </c>
      <c r="H25" s="761">
        <v>39031</v>
      </c>
      <c r="I25" s="763">
        <v>36</v>
      </c>
      <c r="J25" s="763"/>
      <c r="K25" s="769">
        <f t="shared" si="0"/>
        <v>36</v>
      </c>
      <c r="L25" s="763">
        <v>34</v>
      </c>
      <c r="M25" s="764">
        <f t="shared" si="1"/>
        <v>0.9444444444444444</v>
      </c>
      <c r="N25" s="764">
        <v>0.6</v>
      </c>
      <c r="O25" s="765">
        <f t="shared" si="2"/>
        <v>0.6352941176470588</v>
      </c>
      <c r="P25" s="765"/>
    </row>
    <row r="26" spans="1:16" ht="22.5">
      <c r="A26" s="757">
        <v>44</v>
      </c>
      <c r="B26" s="758" t="s">
        <v>677</v>
      </c>
      <c r="C26" s="780" t="s">
        <v>801</v>
      </c>
      <c r="D26" s="760">
        <v>2332300</v>
      </c>
      <c r="E26" s="760">
        <f t="shared" si="3"/>
        <v>1231500</v>
      </c>
      <c r="F26" s="781">
        <v>3563800</v>
      </c>
      <c r="G26" s="762">
        <v>38047</v>
      </c>
      <c r="H26" s="762">
        <v>39142</v>
      </c>
      <c r="I26" s="763">
        <v>36</v>
      </c>
      <c r="J26" s="763"/>
      <c r="K26" s="763">
        <f t="shared" si="0"/>
        <v>36</v>
      </c>
      <c r="L26" s="763">
        <v>30</v>
      </c>
      <c r="M26" s="764">
        <f t="shared" si="1"/>
        <v>0.8333333333333334</v>
      </c>
      <c r="N26" s="764">
        <v>0.5857</v>
      </c>
      <c r="O26" s="765">
        <f t="shared" si="2"/>
        <v>0.70284</v>
      </c>
      <c r="P26" s="770"/>
    </row>
    <row r="27" spans="1:16" ht="11.25">
      <c r="A27" s="771">
        <v>45</v>
      </c>
      <c r="B27" s="772" t="s">
        <v>829</v>
      </c>
      <c r="C27" s="774" t="s">
        <v>830</v>
      </c>
      <c r="D27" s="775">
        <v>48400</v>
      </c>
      <c r="E27" s="760">
        <f t="shared" si="3"/>
        <v>450307</v>
      </c>
      <c r="F27" s="775">
        <v>498707</v>
      </c>
      <c r="G27" s="762">
        <v>38169</v>
      </c>
      <c r="H27" s="762">
        <v>39082</v>
      </c>
      <c r="I27" s="763">
        <v>24</v>
      </c>
      <c r="J27" s="763">
        <v>6</v>
      </c>
      <c r="K27" s="769">
        <f t="shared" si="0"/>
        <v>30</v>
      </c>
      <c r="L27" s="763">
        <v>26</v>
      </c>
      <c r="M27" s="764">
        <f t="shared" si="1"/>
        <v>0.8666666666666667</v>
      </c>
      <c r="N27" s="764">
        <v>0.6284</v>
      </c>
      <c r="O27" s="765">
        <f t="shared" si="2"/>
        <v>0.725076923076923</v>
      </c>
      <c r="P27" s="765"/>
    </row>
    <row r="28" spans="1:16" ht="11.25">
      <c r="A28" s="757">
        <v>26</v>
      </c>
      <c r="B28" s="758" t="s">
        <v>890</v>
      </c>
      <c r="C28" s="759" t="s">
        <v>891</v>
      </c>
      <c r="D28" s="760">
        <v>328000</v>
      </c>
      <c r="E28" s="760">
        <f t="shared" si="3"/>
        <v>405650</v>
      </c>
      <c r="F28" s="760">
        <v>733650</v>
      </c>
      <c r="G28" s="762">
        <v>38376</v>
      </c>
      <c r="H28" s="762">
        <v>39106</v>
      </c>
      <c r="I28" s="763">
        <v>18</v>
      </c>
      <c r="J28" s="763">
        <v>6</v>
      </c>
      <c r="K28" s="769">
        <f t="shared" si="0"/>
        <v>24</v>
      </c>
      <c r="L28" s="763">
        <v>21</v>
      </c>
      <c r="M28" s="764">
        <f t="shared" si="1"/>
        <v>0.875</v>
      </c>
      <c r="N28" s="764">
        <v>0.73</v>
      </c>
      <c r="O28" s="765">
        <f t="shared" si="2"/>
        <v>0.8342857142857143</v>
      </c>
      <c r="P28" s="765"/>
    </row>
    <row r="29" spans="1:16" s="792" customFormat="1" ht="11.25">
      <c r="A29" s="782"/>
      <c r="B29" s="783"/>
      <c r="C29" s="784"/>
      <c r="D29" s="785"/>
      <c r="E29" s="785"/>
      <c r="F29" s="785"/>
      <c r="G29" s="786"/>
      <c r="H29" s="786"/>
      <c r="I29" s="787"/>
      <c r="J29" s="787"/>
      <c r="K29" s="787"/>
      <c r="L29" s="787"/>
      <c r="M29" s="788"/>
      <c r="N29" s="789"/>
      <c r="O29" s="790"/>
      <c r="P29" s="791"/>
    </row>
    <row r="30" spans="1:16" s="792" customFormat="1" ht="11.25">
      <c r="A30" s="782"/>
      <c r="B30" s="783"/>
      <c r="C30" s="784"/>
      <c r="D30" s="785"/>
      <c r="E30" s="785"/>
      <c r="F30" s="785"/>
      <c r="G30" s="786"/>
      <c r="H30" s="786"/>
      <c r="I30" s="787"/>
      <c r="J30" s="787"/>
      <c r="K30" s="787"/>
      <c r="L30" s="787"/>
      <c r="M30" s="788"/>
      <c r="N30" s="789"/>
      <c r="O30" s="790"/>
      <c r="P30" s="791"/>
    </row>
    <row r="31" spans="1:16" s="792" customFormat="1" ht="11.25">
      <c r="A31" s="782"/>
      <c r="B31" s="783"/>
      <c r="C31" s="784"/>
      <c r="D31" s="785"/>
      <c r="E31" s="785"/>
      <c r="F31" s="785"/>
      <c r="G31" s="786"/>
      <c r="H31" s="786"/>
      <c r="I31" s="787"/>
      <c r="J31" s="787"/>
      <c r="K31" s="787"/>
      <c r="L31" s="787"/>
      <c r="M31" s="788"/>
      <c r="N31" s="789"/>
      <c r="O31" s="790"/>
      <c r="P31" s="791"/>
    </row>
    <row r="32" spans="1:16" ht="105">
      <c r="A32" s="757">
        <v>47</v>
      </c>
      <c r="B32" s="758" t="s">
        <v>272</v>
      </c>
      <c r="C32" s="759" t="s">
        <v>919</v>
      </c>
      <c r="D32" s="760">
        <v>51600</v>
      </c>
      <c r="E32" s="760">
        <f>+F32-D32</f>
        <v>281575</v>
      </c>
      <c r="F32" s="760">
        <v>333175</v>
      </c>
      <c r="G32" s="761">
        <v>38139</v>
      </c>
      <c r="H32" s="762">
        <v>38626</v>
      </c>
      <c r="I32" s="763">
        <v>10</v>
      </c>
      <c r="J32" s="763">
        <v>6</v>
      </c>
      <c r="K32" s="769">
        <f>+J32+I32</f>
        <v>16</v>
      </c>
      <c r="L32" s="763">
        <v>16</v>
      </c>
      <c r="M32" s="764">
        <f>+L32/(J32+I32)</f>
        <v>1</v>
      </c>
      <c r="N32" s="764">
        <v>0.79</v>
      </c>
      <c r="O32" s="765">
        <f>+N32/M32</f>
        <v>0.79</v>
      </c>
      <c r="P32" s="793" t="s">
        <v>342</v>
      </c>
    </row>
    <row r="33" spans="1:16" ht="11.25">
      <c r="A33" s="794"/>
      <c r="B33" s="795"/>
      <c r="C33" s="796"/>
      <c r="D33" s="797"/>
      <c r="E33" s="797"/>
      <c r="F33" s="797"/>
      <c r="G33" s="798"/>
      <c r="H33" s="799"/>
      <c r="I33" s="800"/>
      <c r="J33" s="800"/>
      <c r="K33" s="800"/>
      <c r="L33" s="800"/>
      <c r="M33" s="801"/>
      <c r="N33" s="802"/>
      <c r="O33" s="803"/>
      <c r="P33" s="804"/>
    </row>
    <row r="34" spans="1:16" ht="14.25">
      <c r="A34" s="771">
        <v>46</v>
      </c>
      <c r="B34" s="772" t="s">
        <v>140</v>
      </c>
      <c r="C34" s="774" t="s">
        <v>756</v>
      </c>
      <c r="D34" s="775">
        <v>92980</v>
      </c>
      <c r="E34" s="775">
        <f>+F34-D34</f>
        <v>445820</v>
      </c>
      <c r="F34" s="775">
        <v>538800</v>
      </c>
      <c r="G34" s="805"/>
      <c r="H34" s="1313" t="s">
        <v>343</v>
      </c>
      <c r="I34" s="1314"/>
      <c r="J34" s="1314"/>
      <c r="K34" s="1314"/>
      <c r="L34" s="1314"/>
      <c r="M34" s="1314"/>
      <c r="N34" s="1314"/>
      <c r="O34" s="1315"/>
      <c r="P34" s="806"/>
    </row>
    <row r="35" spans="1:16" ht="11.25">
      <c r="A35" s="757"/>
      <c r="B35" s="758"/>
      <c r="C35" s="759"/>
      <c r="D35" s="760"/>
      <c r="E35" s="760"/>
      <c r="F35" s="760"/>
      <c r="G35" s="762"/>
      <c r="H35" s="807"/>
      <c r="I35" s="808"/>
      <c r="J35" s="808"/>
      <c r="K35" s="808"/>
      <c r="L35" s="808"/>
      <c r="M35" s="809"/>
      <c r="N35" s="810"/>
      <c r="O35" s="811"/>
      <c r="P35" s="770"/>
    </row>
    <row r="36" spans="1:16" ht="22.5">
      <c r="A36" s="757">
        <v>23</v>
      </c>
      <c r="B36" s="772" t="s">
        <v>843</v>
      </c>
      <c r="C36" s="774" t="s">
        <v>62</v>
      </c>
      <c r="D36" s="775">
        <v>133150</v>
      </c>
      <c r="E36" s="775">
        <f>+F36-D36</f>
        <v>288200</v>
      </c>
      <c r="F36" s="775">
        <v>421350</v>
      </c>
      <c r="G36" s="762">
        <v>37989</v>
      </c>
      <c r="H36" s="1313" t="s">
        <v>344</v>
      </c>
      <c r="I36" s="1314"/>
      <c r="J36" s="1314"/>
      <c r="K36" s="1314"/>
      <c r="L36" s="1314"/>
      <c r="M36" s="1314"/>
      <c r="N36" s="1314"/>
      <c r="O36" s="1315"/>
      <c r="P36" s="806"/>
    </row>
    <row r="37" spans="4:6" ht="11.25">
      <c r="D37" s="812"/>
      <c r="E37" s="812"/>
      <c r="F37" s="812"/>
    </row>
  </sheetData>
  <sheetProtection/>
  <mergeCells count="11">
    <mergeCell ref="P5:R5"/>
    <mergeCell ref="H34:O34"/>
    <mergeCell ref="A5:A6"/>
    <mergeCell ref="B5:B6"/>
    <mergeCell ref="C5:C6"/>
    <mergeCell ref="D5:F5"/>
    <mergeCell ref="H36:O36"/>
    <mergeCell ref="G5:H5"/>
    <mergeCell ref="I5:K5"/>
    <mergeCell ref="L5:N5"/>
    <mergeCell ref="O5:O6"/>
  </mergeCells>
  <printOptions/>
  <pageMargins left="0.19" right="0.34" top="1.13" bottom="1" header="0.5" footer="0.5"/>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HU39"/>
  <sheetViews>
    <sheetView zoomScalePageLayoutView="0" workbookViewId="0" topLeftCell="A1">
      <pane xSplit="5" ySplit="2" topLeftCell="AA3" activePane="bottomRight" state="frozen"/>
      <selection pane="topLeft" activeCell="A1" sqref="A1"/>
      <selection pane="topRight" activeCell="F1" sqref="F1"/>
      <selection pane="bottomLeft" activeCell="A3" sqref="A3"/>
      <selection pane="bottomRight" activeCell="D13" sqref="D13"/>
    </sheetView>
  </sheetViews>
  <sheetFormatPr defaultColWidth="5.57421875" defaultRowHeight="12.75"/>
  <cols>
    <col min="1" max="1" width="4.57421875" style="449" customWidth="1"/>
    <col min="2" max="2" width="3.28125" style="418" hidden="1" customWidth="1"/>
    <col min="3" max="3" width="3.421875" style="405" customWidth="1"/>
    <col min="4" max="4" width="32.00390625" style="155" customWidth="1"/>
    <col min="5" max="5" width="15.7109375" style="155" customWidth="1"/>
    <col min="6" max="6" width="3.57421875" style="155" customWidth="1"/>
    <col min="7" max="7" width="19.28125" style="155" customWidth="1"/>
    <col min="8" max="8" width="11.421875" style="819" customWidth="1"/>
    <col min="9" max="9" width="10.00390625" style="532" customWidth="1"/>
    <col min="10" max="10" width="11.8515625" style="465" customWidth="1"/>
    <col min="11" max="11" width="4.57421875" style="449" customWidth="1"/>
    <col min="12" max="13" width="3.00390625" style="449" customWidth="1"/>
    <col min="14" max="14" width="12.28125" style="466" customWidth="1"/>
    <col min="15" max="15" width="12.28125" style="446" customWidth="1"/>
    <col min="16" max="16" width="10.7109375" style="446" customWidth="1"/>
    <col min="17" max="17" width="11.140625" style="465" customWidth="1"/>
    <col min="18" max="18" width="11.57421875" style="465" customWidth="1"/>
    <col min="19" max="19" width="10.8515625" style="446" customWidth="1"/>
    <col min="20" max="20" width="11.28125" style="465" customWidth="1"/>
    <col min="21" max="21" width="10.8515625" style="465" customWidth="1"/>
    <col min="22" max="22" width="12.57421875" style="465" customWidth="1"/>
    <col min="23" max="23" width="12.140625" style="446" customWidth="1"/>
    <col min="24" max="25" width="10.8515625" style="465" customWidth="1"/>
    <col min="26" max="26" width="12.00390625" style="465" customWidth="1"/>
    <col min="27" max="27" width="10.421875" style="467" customWidth="1"/>
    <col min="28" max="28" width="9.57421875" style="449" customWidth="1"/>
    <col min="29" max="29" width="6.140625" style="449" customWidth="1"/>
    <col min="30" max="30" width="8.140625" style="449" customWidth="1"/>
    <col min="31" max="31" width="4.00390625" style="449" customWidth="1"/>
    <col min="32" max="32" width="12.421875" style="288" customWidth="1"/>
    <col min="33" max="33" width="5.28125" style="449" customWidth="1"/>
    <col min="34" max="34" width="6.140625" style="449" customWidth="1"/>
    <col min="35" max="35" width="11.421875" style="449" customWidth="1"/>
    <col min="36" max="36" width="14.421875" style="468" customWidth="1"/>
    <col min="37" max="37" width="4.28125" style="449" hidden="1" customWidth="1"/>
    <col min="38" max="38" width="4.140625" style="449" customWidth="1"/>
    <col min="39" max="39" width="9.7109375" style="467" customWidth="1"/>
    <col min="40" max="40" width="9.28125" style="449" customWidth="1"/>
    <col min="41" max="41" width="9.8515625" style="418" customWidth="1"/>
    <col min="42" max="42" width="5.421875" style="418" customWidth="1"/>
    <col min="43" max="43" width="5.421875" style="449" customWidth="1"/>
    <col min="44" max="44" width="5.28125" style="449" customWidth="1"/>
    <col min="45" max="46" width="18.00390625" style="288" customWidth="1"/>
    <col min="47" max="47" width="6.7109375" style="448" customWidth="1"/>
    <col min="48" max="48" width="9.57421875" style="827" customWidth="1"/>
    <col min="49" max="49" width="9.00390625" style="827" customWidth="1"/>
    <col min="50" max="50" width="10.140625" style="483" bestFit="1" customWidth="1"/>
    <col min="51" max="51" width="13.7109375" style="468" customWidth="1"/>
    <col min="52" max="52" width="5.57421875" style="468" customWidth="1"/>
    <col min="53" max="53" width="7.140625" style="468" customWidth="1"/>
    <col min="54" max="54" width="16.7109375" style="468" customWidth="1"/>
    <col min="55" max="55" width="10.8515625" style="449" customWidth="1"/>
    <col min="56" max="56" width="9.57421875" style="468" bestFit="1" customWidth="1"/>
    <col min="57" max="57" width="9.57421875" style="468" customWidth="1"/>
    <col min="58" max="58" width="5.57421875" style="468" customWidth="1"/>
    <col min="59" max="59" width="9.00390625" style="827" customWidth="1"/>
    <col min="60" max="60" width="8.421875" style="468" customWidth="1"/>
    <col min="61" max="61" width="11.00390625" style="465" customWidth="1"/>
    <col min="62" max="62" width="11.421875" style="465" customWidth="1"/>
    <col min="63" max="63" width="5.00390625" style="469" customWidth="1"/>
    <col min="64" max="64" width="10.140625" style="465" customWidth="1"/>
    <col min="65" max="65" width="4.7109375" style="469" customWidth="1"/>
    <col min="66" max="68" width="9.7109375" style="465" customWidth="1"/>
    <col min="69" max="69" width="5.57421875" style="487" customWidth="1"/>
    <col min="70" max="70" width="8.7109375" style="467" customWidth="1"/>
    <col min="71" max="71" width="3.28125" style="449" customWidth="1"/>
    <col min="72" max="72" width="5.57421875" style="487" customWidth="1"/>
    <col min="73" max="73" width="10.57421875" style="840" customWidth="1"/>
    <col min="74" max="74" width="8.8515625" style="467" customWidth="1"/>
    <col min="75" max="75" width="10.28125" style="532" customWidth="1"/>
    <col min="76" max="76" width="12.140625" style="880" customWidth="1"/>
    <col min="77" max="77" width="12.140625" style="502" customWidth="1"/>
    <col min="78" max="79" width="11.00390625" style="465" customWidth="1"/>
    <col min="80" max="80" width="10.421875" style="465" customWidth="1"/>
    <col min="81" max="81" width="9.00390625" style="465" customWidth="1"/>
    <col min="82" max="82" width="9.7109375" style="465" customWidth="1"/>
    <col min="83" max="83" width="8.00390625" style="465" customWidth="1"/>
    <col min="84" max="84" width="6.7109375" style="465" customWidth="1"/>
    <col min="85" max="85" width="6.140625" style="487" customWidth="1"/>
    <col min="86" max="86" width="8.7109375" style="467" customWidth="1"/>
    <col min="87" max="87" width="10.00390625" style="582" customWidth="1"/>
    <col min="88" max="88" width="8.7109375" style="467" customWidth="1"/>
    <col min="89" max="89" width="9.8515625" style="875" customWidth="1"/>
    <col min="90" max="91" width="8.7109375" style="448" customWidth="1"/>
    <col min="92" max="92" width="11.57421875" style="448" customWidth="1"/>
    <col min="93" max="97" width="8.7109375" style="448" customWidth="1"/>
    <col min="98" max="98" width="8.7109375" style="487" customWidth="1"/>
    <col min="99" max="99" width="8.7109375" style="467" customWidth="1"/>
    <col min="100" max="100" width="11.00390625" style="582" customWidth="1"/>
    <col min="101" max="101" width="8.7109375" style="467" customWidth="1"/>
    <col min="102" max="102" width="10.421875" style="863" customWidth="1"/>
    <col min="103" max="104" width="8.7109375" style="448" customWidth="1"/>
    <col min="105" max="105" width="10.00390625" style="448" customWidth="1"/>
    <col min="106" max="110" width="8.7109375" style="448" customWidth="1"/>
    <col min="111" max="111" width="8.7109375" style="487" customWidth="1"/>
    <col min="112" max="112" width="8.7109375" style="467" customWidth="1"/>
    <col min="113" max="113" width="10.421875" style="582" customWidth="1"/>
    <col min="114" max="114" width="8.7109375" style="467" customWidth="1"/>
    <col min="115" max="115" width="9.7109375" style="863" customWidth="1"/>
    <col min="116" max="123" width="8.7109375" style="448" customWidth="1"/>
    <col min="124" max="124" width="8.7109375" style="487" customWidth="1"/>
    <col min="125" max="125" width="8.7109375" style="467" customWidth="1"/>
    <col min="126" max="126" width="9.8515625" style="582" customWidth="1"/>
    <col min="127" max="127" width="8.7109375" style="467" customWidth="1"/>
    <col min="128" max="128" width="10.00390625" style="868" customWidth="1"/>
    <col min="129" max="136" width="8.7109375" style="448" customWidth="1"/>
    <col min="137" max="137" width="8.7109375" style="487" customWidth="1"/>
    <col min="138" max="138" width="8.7109375" style="467" customWidth="1"/>
    <col min="139" max="139" width="9.57421875" style="582" customWidth="1"/>
    <col min="140" max="140" width="8.7109375" style="467" customWidth="1"/>
    <col min="141" max="141" width="9.7109375" style="863" customWidth="1"/>
    <col min="142" max="142" width="10.57421875" style="448" customWidth="1"/>
    <col min="143" max="144" width="10.421875" style="448" customWidth="1"/>
    <col min="145" max="145" width="10.7109375" style="448" customWidth="1"/>
    <col min="146" max="146" width="10.57421875" style="448" customWidth="1"/>
    <col min="147" max="147" width="10.28125" style="448" customWidth="1"/>
    <col min="148" max="149" width="8.7109375" style="448" customWidth="1"/>
    <col min="150" max="150" width="8.7109375" style="487" customWidth="1"/>
    <col min="151" max="151" width="8.7109375" style="467" customWidth="1"/>
    <col min="152" max="152" width="8.7109375" style="582" customWidth="1"/>
    <col min="153" max="153" width="8.7109375" style="467" customWidth="1"/>
    <col min="154" max="154" width="8.7109375" style="875" customWidth="1"/>
    <col min="155" max="160" width="8.7109375" style="448" customWidth="1"/>
    <col min="161" max="161" width="8.28125" style="448" customWidth="1"/>
    <col min="162" max="164" width="8.7109375" style="448" customWidth="1"/>
    <col min="165" max="165" width="9.7109375" style="448" customWidth="1"/>
    <col min="166" max="166" width="8.7109375" style="448" customWidth="1"/>
    <col min="167" max="167" width="8.7109375" style="875" customWidth="1"/>
    <col min="168" max="177" width="8.7109375" style="448" customWidth="1"/>
    <col min="178" max="178" width="10.421875" style="448" customWidth="1"/>
    <col min="179" max="179" width="8.7109375" style="448" customWidth="1"/>
    <col min="180" max="180" width="8.7109375" style="875" customWidth="1"/>
    <col min="181" max="190" width="8.7109375" style="448" customWidth="1"/>
    <col min="191" max="191" width="10.421875" style="448" customWidth="1"/>
    <col min="192" max="192" width="8.7109375" style="448" customWidth="1"/>
    <col min="193" max="193" width="8.7109375" style="875" customWidth="1"/>
    <col min="194" max="194" width="9.140625" style="875" customWidth="1"/>
    <col min="195" max="195" width="9.57421875" style="875" customWidth="1"/>
    <col min="196" max="196" width="9.28125" style="875" customWidth="1"/>
    <col min="197" max="197" width="9.421875" style="875" customWidth="1"/>
    <col min="198" max="206" width="8.7109375" style="875" customWidth="1"/>
    <col min="207" max="207" width="1.8515625" style="900" customWidth="1"/>
    <col min="208" max="208" width="11.7109375" style="889" customWidth="1"/>
    <col min="209" max="209" width="11.140625" style="448" customWidth="1"/>
    <col min="210" max="210" width="8.57421875" style="850" customWidth="1"/>
    <col min="211" max="211" width="3.57421875" style="487" customWidth="1"/>
    <col min="212" max="212" width="3.57421875" style="696" customWidth="1"/>
    <col min="213" max="213" width="9.28125" style="696" customWidth="1"/>
    <col min="214" max="214" width="11.28125" style="448" customWidth="1"/>
    <col min="215" max="215" width="2.7109375" style="487" customWidth="1"/>
    <col min="216" max="216" width="10.28125" style="696" customWidth="1"/>
    <col min="217" max="217" width="10.28125" style="654" customWidth="1"/>
    <col min="218" max="220" width="9.8515625" style="448" customWidth="1"/>
    <col min="221" max="221" width="11.00390625" style="448" customWidth="1"/>
    <col min="222" max="222" width="9.8515625" style="448" customWidth="1"/>
    <col min="223" max="223" width="12.00390625" style="418" customWidth="1"/>
    <col min="224" max="225" width="10.00390625" style="418" bestFit="1" customWidth="1"/>
    <col min="226" max="226" width="9.421875" style="418" customWidth="1"/>
    <col min="227" max="227" width="10.140625" style="418" customWidth="1"/>
    <col min="228" max="228" width="9.421875" style="418" customWidth="1"/>
    <col min="229" max="229" width="10.421875" style="418" customWidth="1"/>
    <col min="230" max="16384" width="5.57421875" style="418" customWidth="1"/>
  </cols>
  <sheetData>
    <row r="1" spans="26:229" ht="12.75" customHeight="1">
      <c r="Z1" s="465">
        <f>1719+164</f>
        <v>1883</v>
      </c>
      <c r="BI1" s="1228" t="s">
        <v>216</v>
      </c>
      <c r="BJ1" s="1229"/>
      <c r="BK1" s="1229"/>
      <c r="BL1" s="1229"/>
      <c r="BM1" s="1229"/>
      <c r="BN1" s="1229"/>
      <c r="BO1" s="1229"/>
      <c r="BP1" s="1229"/>
      <c r="BQ1" s="1229"/>
      <c r="BR1" s="1229"/>
      <c r="BS1" s="1229"/>
      <c r="BT1" s="1229"/>
      <c r="BU1" s="1229"/>
      <c r="BV1" s="1229"/>
      <c r="BW1" s="1229"/>
      <c r="BX1" s="1230"/>
      <c r="BY1" s="1224" t="s">
        <v>668</v>
      </c>
      <c r="BZ1" s="1225"/>
      <c r="CA1" s="1225"/>
      <c r="CB1" s="1225"/>
      <c r="CC1" s="1225"/>
      <c r="CD1" s="1225"/>
      <c r="CE1" s="1225"/>
      <c r="CF1" s="1225"/>
      <c r="CG1" s="1225"/>
      <c r="CH1" s="1225"/>
      <c r="CI1" s="1225"/>
      <c r="CJ1" s="1225"/>
      <c r="CK1" s="1222"/>
      <c r="CL1" s="1223" t="s">
        <v>667</v>
      </c>
      <c r="CM1" s="1237"/>
      <c r="CN1" s="1237"/>
      <c r="CO1" s="1237"/>
      <c r="CP1" s="1237"/>
      <c r="CQ1" s="1237"/>
      <c r="CR1" s="1237"/>
      <c r="CS1" s="1237"/>
      <c r="CT1" s="1237"/>
      <c r="CU1" s="1237"/>
      <c r="CV1" s="1237"/>
      <c r="CW1" s="1237"/>
      <c r="CX1" s="1237"/>
      <c r="CY1" s="1238" t="s">
        <v>1288</v>
      </c>
      <c r="CZ1" s="1238"/>
      <c r="DA1" s="1238"/>
      <c r="DB1" s="1238"/>
      <c r="DC1" s="1238"/>
      <c r="DD1" s="1238"/>
      <c r="DE1" s="1238"/>
      <c r="DF1" s="1238"/>
      <c r="DG1" s="1238"/>
      <c r="DH1" s="1238"/>
      <c r="DI1" s="1238"/>
      <c r="DJ1" s="1238"/>
      <c r="DK1" s="1238"/>
      <c r="DL1" s="1231" t="s">
        <v>1302</v>
      </c>
      <c r="DM1" s="1231"/>
      <c r="DN1" s="1231"/>
      <c r="DO1" s="1231"/>
      <c r="DP1" s="1231"/>
      <c r="DQ1" s="1232"/>
      <c r="DR1" s="1231"/>
      <c r="DS1" s="1231"/>
      <c r="DT1" s="1231"/>
      <c r="DU1" s="1231"/>
      <c r="DV1" s="1231"/>
      <c r="DW1" s="1231"/>
      <c r="DX1" s="1233"/>
      <c r="DY1" s="1234" t="s">
        <v>1330</v>
      </c>
      <c r="DZ1" s="1234"/>
      <c r="EA1" s="1234"/>
      <c r="EB1" s="1234"/>
      <c r="EC1" s="1234"/>
      <c r="ED1" s="1235"/>
      <c r="EE1" s="1234"/>
      <c r="EF1" s="1234"/>
      <c r="EG1" s="1234"/>
      <c r="EH1" s="1234"/>
      <c r="EI1" s="1234"/>
      <c r="EJ1" s="1234"/>
      <c r="EK1" s="1236"/>
      <c r="EL1" s="1239" t="s">
        <v>93</v>
      </c>
      <c r="EM1" s="1239"/>
      <c r="EN1" s="1239"/>
      <c r="EO1" s="1239"/>
      <c r="EP1" s="1239"/>
      <c r="EQ1" s="1240"/>
      <c r="ER1" s="1239"/>
      <c r="ES1" s="1239"/>
      <c r="ET1" s="1239"/>
      <c r="EU1" s="1239"/>
      <c r="EV1" s="1239"/>
      <c r="EW1" s="1239"/>
      <c r="EX1" s="1241"/>
      <c r="EY1" s="1242" t="s">
        <v>590</v>
      </c>
      <c r="EZ1" s="1242"/>
      <c r="FA1" s="1242"/>
      <c r="FB1" s="1242"/>
      <c r="FC1" s="1242"/>
      <c r="FD1" s="1243"/>
      <c r="FE1" s="1242"/>
      <c r="FF1" s="1242"/>
      <c r="FG1" s="1242"/>
      <c r="FH1" s="1242"/>
      <c r="FI1" s="1242"/>
      <c r="FJ1" s="1242"/>
      <c r="FK1" s="1244"/>
      <c r="FL1" s="1231" t="s">
        <v>397</v>
      </c>
      <c r="FM1" s="1231"/>
      <c r="FN1" s="1231"/>
      <c r="FO1" s="1231"/>
      <c r="FP1" s="1231"/>
      <c r="FQ1" s="1247"/>
      <c r="FR1" s="1231"/>
      <c r="FS1" s="1231"/>
      <c r="FT1" s="1231"/>
      <c r="FU1" s="1231"/>
      <c r="FV1" s="1231"/>
      <c r="FW1" s="1231"/>
      <c r="FX1" s="1233"/>
      <c r="FY1" s="1245" t="s">
        <v>1437</v>
      </c>
      <c r="FZ1" s="1245"/>
      <c r="GA1" s="1245"/>
      <c r="GB1" s="1245"/>
      <c r="GC1" s="1245"/>
      <c r="GD1" s="1246"/>
      <c r="GE1" s="1245"/>
      <c r="GF1" s="1245"/>
      <c r="GG1" s="1245"/>
      <c r="GH1" s="1245"/>
      <c r="GI1" s="1245"/>
      <c r="GJ1" s="1245"/>
      <c r="GK1" s="1248"/>
      <c r="GL1" s="1234" t="s">
        <v>1439</v>
      </c>
      <c r="GM1" s="1234"/>
      <c r="GN1" s="1234"/>
      <c r="GO1" s="1234"/>
      <c r="GP1" s="1234"/>
      <c r="GQ1" s="1235"/>
      <c r="GR1" s="1234"/>
      <c r="GS1" s="1234"/>
      <c r="GT1" s="1234"/>
      <c r="GU1" s="1234"/>
      <c r="GV1" s="1234"/>
      <c r="GW1" s="1234"/>
      <c r="GX1" s="1236"/>
      <c r="GY1" s="1249"/>
      <c r="GZ1" s="1249"/>
      <c r="HA1" s="1249"/>
      <c r="HB1" s="1250"/>
      <c r="HC1" s="1250"/>
      <c r="HD1" s="1250"/>
      <c r="HE1" s="1250"/>
      <c r="HF1" s="1250"/>
      <c r="HG1" s="1250"/>
      <c r="HH1" s="1250"/>
      <c r="HI1" s="1250"/>
      <c r="HJ1" s="1250"/>
      <c r="HK1" s="1250"/>
      <c r="HL1" s="1250"/>
      <c r="HM1" s="1250"/>
      <c r="HN1" s="1250"/>
      <c r="HO1" s="1245" t="s">
        <v>1250</v>
      </c>
      <c r="HP1" s="1245"/>
      <c r="HQ1" s="1245"/>
      <c r="HR1" s="1245"/>
      <c r="HS1" s="1246"/>
      <c r="HT1" s="1245"/>
      <c r="HU1" s="1245"/>
    </row>
    <row r="2" spans="1:229" s="395" customFormat="1" ht="101.25" customHeight="1">
      <c r="A2" s="395" t="s">
        <v>769</v>
      </c>
      <c r="B2" s="396" t="s">
        <v>770</v>
      </c>
      <c r="C2" s="396" t="s">
        <v>665</v>
      </c>
      <c r="D2" s="521" t="s">
        <v>771</v>
      </c>
      <c r="E2" s="521" t="s">
        <v>772</v>
      </c>
      <c r="F2" s="521" t="s">
        <v>153</v>
      </c>
      <c r="G2" s="521" t="s">
        <v>1101</v>
      </c>
      <c r="H2" s="398" t="s">
        <v>1176</v>
      </c>
      <c r="I2" s="525" t="s">
        <v>267</v>
      </c>
      <c r="J2" s="399" t="s">
        <v>161</v>
      </c>
      <c r="K2" s="398" t="s">
        <v>774</v>
      </c>
      <c r="L2" s="398" t="s">
        <v>775</v>
      </c>
      <c r="M2" s="398" t="s">
        <v>776</v>
      </c>
      <c r="N2" s="397" t="s">
        <v>777</v>
      </c>
      <c r="O2" s="397" t="s">
        <v>778</v>
      </c>
      <c r="P2" s="397" t="s">
        <v>779</v>
      </c>
      <c r="Q2" s="399" t="s">
        <v>162</v>
      </c>
      <c r="R2" s="399" t="s">
        <v>163</v>
      </c>
      <c r="S2" s="397" t="s">
        <v>780</v>
      </c>
      <c r="T2" s="399" t="s">
        <v>1092</v>
      </c>
      <c r="U2" s="399" t="s">
        <v>925</v>
      </c>
      <c r="V2" s="399" t="s">
        <v>926</v>
      </c>
      <c r="W2" s="399" t="s">
        <v>781</v>
      </c>
      <c r="X2" s="399" t="s">
        <v>782</v>
      </c>
      <c r="Y2" s="399" t="s">
        <v>158</v>
      </c>
      <c r="Z2" s="399" t="s">
        <v>157</v>
      </c>
      <c r="AA2" s="400" t="s">
        <v>753</v>
      </c>
      <c r="AB2" s="401" t="s">
        <v>755</v>
      </c>
      <c r="AC2" s="401" t="s">
        <v>754</v>
      </c>
      <c r="AD2" s="402" t="s">
        <v>783</v>
      </c>
      <c r="AE2" s="402" t="s">
        <v>784</v>
      </c>
      <c r="AF2" s="402" t="s">
        <v>785</v>
      </c>
      <c r="AG2" s="402" t="s">
        <v>786</v>
      </c>
      <c r="AH2" s="401" t="s">
        <v>787</v>
      </c>
      <c r="AI2" s="402" t="s">
        <v>788</v>
      </c>
      <c r="AJ2" s="520" t="s">
        <v>789</v>
      </c>
      <c r="AK2" s="398" t="s">
        <v>790</v>
      </c>
      <c r="AL2" s="977" t="s">
        <v>997</v>
      </c>
      <c r="AM2" s="978" t="s">
        <v>998</v>
      </c>
      <c r="AN2" s="398" t="s">
        <v>72</v>
      </c>
      <c r="AO2" s="396" t="s">
        <v>1009</v>
      </c>
      <c r="AP2" s="396" t="s">
        <v>1010</v>
      </c>
      <c r="AQ2" s="398" t="s">
        <v>73</v>
      </c>
      <c r="AR2" s="398" t="s">
        <v>74</v>
      </c>
      <c r="AS2" s="398" t="s">
        <v>252</v>
      </c>
      <c r="AT2" s="398" t="s">
        <v>253</v>
      </c>
      <c r="AU2" s="397" t="s">
        <v>294</v>
      </c>
      <c r="AV2" s="828" t="s">
        <v>258</v>
      </c>
      <c r="AW2" s="828" t="s">
        <v>259</v>
      </c>
      <c r="AX2" s="828" t="s">
        <v>260</v>
      </c>
      <c r="AY2" s="533" t="s">
        <v>264</v>
      </c>
      <c r="AZ2" s="533" t="s">
        <v>265</v>
      </c>
      <c r="BA2" s="533" t="s">
        <v>268</v>
      </c>
      <c r="BB2" s="533" t="s">
        <v>377</v>
      </c>
      <c r="BC2" s="533" t="s">
        <v>261</v>
      </c>
      <c r="BD2" s="533" t="s">
        <v>266</v>
      </c>
      <c r="BE2" s="533" t="s">
        <v>1451</v>
      </c>
      <c r="BF2" s="533" t="s">
        <v>273</v>
      </c>
      <c r="BG2" s="828" t="s">
        <v>275</v>
      </c>
      <c r="BH2" s="533" t="s">
        <v>274</v>
      </c>
      <c r="BI2" s="399" t="s">
        <v>257</v>
      </c>
      <c r="BJ2" s="399" t="s">
        <v>262</v>
      </c>
      <c r="BK2" s="404" t="s">
        <v>283</v>
      </c>
      <c r="BL2" s="399" t="s">
        <v>263</v>
      </c>
      <c r="BM2" s="404" t="s">
        <v>284</v>
      </c>
      <c r="BN2" s="399" t="s">
        <v>1091</v>
      </c>
      <c r="BO2" s="399" t="s">
        <v>841</v>
      </c>
      <c r="BP2" s="399" t="s">
        <v>842</v>
      </c>
      <c r="BQ2" s="398" t="s">
        <v>422</v>
      </c>
      <c r="BR2" s="403" t="s">
        <v>423</v>
      </c>
      <c r="BS2" s="403" t="s">
        <v>1103</v>
      </c>
      <c r="BT2" s="499" t="s">
        <v>366</v>
      </c>
      <c r="BU2" s="836" t="s">
        <v>1216</v>
      </c>
      <c r="BV2" s="503" t="s">
        <v>1047</v>
      </c>
      <c r="BW2" s="700" t="s">
        <v>1052</v>
      </c>
      <c r="BX2" s="507" t="s">
        <v>1053</v>
      </c>
      <c r="BY2" s="563" t="s">
        <v>217</v>
      </c>
      <c r="BZ2" s="563" t="s">
        <v>218</v>
      </c>
      <c r="CA2" s="563" t="s">
        <v>219</v>
      </c>
      <c r="CB2" s="563" t="s">
        <v>215</v>
      </c>
      <c r="CC2" s="563" t="s">
        <v>220</v>
      </c>
      <c r="CD2" s="563" t="s">
        <v>1091</v>
      </c>
      <c r="CE2" s="563" t="s">
        <v>1218</v>
      </c>
      <c r="CF2" s="563" t="s">
        <v>1219</v>
      </c>
      <c r="CG2" s="564" t="s">
        <v>422</v>
      </c>
      <c r="CH2" s="565" t="s">
        <v>423</v>
      </c>
      <c r="CI2" s="836" t="s">
        <v>1216</v>
      </c>
      <c r="CJ2" s="503" t="s">
        <v>1047</v>
      </c>
      <c r="CK2" s="700" t="s">
        <v>1052</v>
      </c>
      <c r="CL2" s="563" t="s">
        <v>669</v>
      </c>
      <c r="CM2" s="563" t="s">
        <v>670</v>
      </c>
      <c r="CN2" s="563" t="s">
        <v>671</v>
      </c>
      <c r="CO2" s="563" t="s">
        <v>672</v>
      </c>
      <c r="CP2" s="563" t="s">
        <v>673</v>
      </c>
      <c r="CQ2" s="563" t="s">
        <v>1091</v>
      </c>
      <c r="CR2" s="563" t="s">
        <v>1218</v>
      </c>
      <c r="CS2" s="563" t="s">
        <v>1219</v>
      </c>
      <c r="CT2" s="564" t="s">
        <v>422</v>
      </c>
      <c r="CU2" s="565" t="s">
        <v>423</v>
      </c>
      <c r="CV2" s="836" t="s">
        <v>1216</v>
      </c>
      <c r="CW2" s="503" t="s">
        <v>1047</v>
      </c>
      <c r="CX2" s="846" t="s">
        <v>1052</v>
      </c>
      <c r="CY2" s="563" t="s">
        <v>1289</v>
      </c>
      <c r="CZ2" s="563" t="s">
        <v>1290</v>
      </c>
      <c r="DA2" s="563" t="s">
        <v>1291</v>
      </c>
      <c r="DB2" s="563" t="s">
        <v>1292</v>
      </c>
      <c r="DC2" s="563" t="s">
        <v>1293</v>
      </c>
      <c r="DD2" s="563" t="s">
        <v>1091</v>
      </c>
      <c r="DE2" s="563" t="s">
        <v>1218</v>
      </c>
      <c r="DF2" s="563" t="s">
        <v>1219</v>
      </c>
      <c r="DG2" s="564" t="s">
        <v>422</v>
      </c>
      <c r="DH2" s="565" t="s">
        <v>423</v>
      </c>
      <c r="DI2" s="836" t="s">
        <v>1216</v>
      </c>
      <c r="DJ2" s="503" t="s">
        <v>1047</v>
      </c>
      <c r="DK2" s="846" t="s">
        <v>1052</v>
      </c>
      <c r="DL2" s="563" t="s">
        <v>1303</v>
      </c>
      <c r="DM2" s="563" t="s">
        <v>1304</v>
      </c>
      <c r="DN2" s="563" t="s">
        <v>1305</v>
      </c>
      <c r="DO2" s="563" t="s">
        <v>1306</v>
      </c>
      <c r="DP2" s="563" t="s">
        <v>1307</v>
      </c>
      <c r="DQ2" s="563" t="s">
        <v>1091</v>
      </c>
      <c r="DR2" s="563" t="s">
        <v>1218</v>
      </c>
      <c r="DS2" s="563" t="s">
        <v>1219</v>
      </c>
      <c r="DT2" s="564" t="s">
        <v>422</v>
      </c>
      <c r="DU2" s="565" t="s">
        <v>423</v>
      </c>
      <c r="DV2" s="836" t="s">
        <v>1216</v>
      </c>
      <c r="DW2" s="503" t="s">
        <v>1047</v>
      </c>
      <c r="DX2" s="865" t="s">
        <v>1052</v>
      </c>
      <c r="DY2" s="563" t="s">
        <v>1303</v>
      </c>
      <c r="DZ2" s="563" t="s">
        <v>1304</v>
      </c>
      <c r="EA2" s="563" t="s">
        <v>1305</v>
      </c>
      <c r="EB2" s="563" t="s">
        <v>1306</v>
      </c>
      <c r="EC2" s="563" t="s">
        <v>1307</v>
      </c>
      <c r="ED2" s="563" t="s">
        <v>1091</v>
      </c>
      <c r="EE2" s="563" t="s">
        <v>1218</v>
      </c>
      <c r="EF2" s="563" t="s">
        <v>1219</v>
      </c>
      <c r="EG2" s="564" t="s">
        <v>422</v>
      </c>
      <c r="EH2" s="565" t="s">
        <v>423</v>
      </c>
      <c r="EI2" s="836" t="s">
        <v>1216</v>
      </c>
      <c r="EJ2" s="503" t="s">
        <v>1047</v>
      </c>
      <c r="EK2" s="846" t="s">
        <v>1052</v>
      </c>
      <c r="EL2" s="563" t="s">
        <v>97</v>
      </c>
      <c r="EM2" s="563" t="s">
        <v>96</v>
      </c>
      <c r="EN2" s="563" t="s">
        <v>98</v>
      </c>
      <c r="EO2" s="563" t="s">
        <v>99</v>
      </c>
      <c r="EP2" s="563" t="s">
        <v>100</v>
      </c>
      <c r="EQ2" s="563" t="s">
        <v>1091</v>
      </c>
      <c r="ER2" s="563" t="s">
        <v>1218</v>
      </c>
      <c r="ES2" s="563" t="s">
        <v>1219</v>
      </c>
      <c r="ET2" s="564" t="s">
        <v>422</v>
      </c>
      <c r="EU2" s="565" t="s">
        <v>423</v>
      </c>
      <c r="EV2" s="836" t="s">
        <v>1216</v>
      </c>
      <c r="EW2" s="503" t="s">
        <v>1047</v>
      </c>
      <c r="EX2" s="700" t="s">
        <v>1052</v>
      </c>
      <c r="EY2" s="563" t="s">
        <v>591</v>
      </c>
      <c r="EZ2" s="563" t="s">
        <v>592</v>
      </c>
      <c r="FA2" s="563" t="s">
        <v>593</v>
      </c>
      <c r="FB2" s="563" t="s">
        <v>594</v>
      </c>
      <c r="FC2" s="563" t="s">
        <v>595</v>
      </c>
      <c r="FD2" s="563" t="s">
        <v>1091</v>
      </c>
      <c r="FE2" s="563" t="s">
        <v>1218</v>
      </c>
      <c r="FF2" s="563" t="s">
        <v>1219</v>
      </c>
      <c r="FG2" s="564" t="s">
        <v>422</v>
      </c>
      <c r="FH2" s="565" t="s">
        <v>423</v>
      </c>
      <c r="FI2" s="836" t="s">
        <v>1216</v>
      </c>
      <c r="FJ2" s="503" t="s">
        <v>1047</v>
      </c>
      <c r="FK2" s="700" t="s">
        <v>1052</v>
      </c>
      <c r="FL2" s="563" t="s">
        <v>398</v>
      </c>
      <c r="FM2" s="563" t="s">
        <v>399</v>
      </c>
      <c r="FN2" s="563" t="s">
        <v>400</v>
      </c>
      <c r="FO2" s="563" t="s">
        <v>401</v>
      </c>
      <c r="FP2" s="563" t="s">
        <v>402</v>
      </c>
      <c r="FQ2" s="563" t="s">
        <v>1091</v>
      </c>
      <c r="FR2" s="563" t="s">
        <v>1218</v>
      </c>
      <c r="FS2" s="563" t="s">
        <v>1219</v>
      </c>
      <c r="FT2" s="564" t="s">
        <v>422</v>
      </c>
      <c r="FU2" s="565" t="s">
        <v>423</v>
      </c>
      <c r="FV2" s="836" t="s">
        <v>1216</v>
      </c>
      <c r="FW2" s="503" t="s">
        <v>1047</v>
      </c>
      <c r="FX2" s="700" t="s">
        <v>1052</v>
      </c>
      <c r="FY2" s="563" t="s">
        <v>1432</v>
      </c>
      <c r="FZ2" s="563" t="s">
        <v>1433</v>
      </c>
      <c r="GA2" s="563" t="s">
        <v>1434</v>
      </c>
      <c r="GB2" s="563" t="s">
        <v>1435</v>
      </c>
      <c r="GC2" s="563" t="s">
        <v>1436</v>
      </c>
      <c r="GD2" s="563" t="s">
        <v>1091</v>
      </c>
      <c r="GE2" s="563" t="s">
        <v>1218</v>
      </c>
      <c r="GF2" s="563" t="s">
        <v>1219</v>
      </c>
      <c r="GG2" s="564" t="s">
        <v>422</v>
      </c>
      <c r="GH2" s="565" t="s">
        <v>423</v>
      </c>
      <c r="GI2" s="836" t="s">
        <v>1216</v>
      </c>
      <c r="GJ2" s="503" t="s">
        <v>1047</v>
      </c>
      <c r="GK2" s="700" t="s">
        <v>1052</v>
      </c>
      <c r="GL2" s="563" t="s">
        <v>1440</v>
      </c>
      <c r="GM2" s="563" t="s">
        <v>1441</v>
      </c>
      <c r="GN2" s="563" t="s">
        <v>1442</v>
      </c>
      <c r="GO2" s="563" t="s">
        <v>1443</v>
      </c>
      <c r="GP2" s="563" t="s">
        <v>1444</v>
      </c>
      <c r="GQ2" s="563" t="s">
        <v>1091</v>
      </c>
      <c r="GR2" s="563" t="s">
        <v>1218</v>
      </c>
      <c r="GS2" s="563" t="s">
        <v>1219</v>
      </c>
      <c r="GT2" s="564" t="s">
        <v>422</v>
      </c>
      <c r="GU2" s="565" t="s">
        <v>423</v>
      </c>
      <c r="GV2" s="836" t="s">
        <v>1216</v>
      </c>
      <c r="GW2" s="503" t="s">
        <v>1047</v>
      </c>
      <c r="GX2" s="700" t="s">
        <v>1052</v>
      </c>
      <c r="GY2" s="898"/>
      <c r="GZ2" s="887" t="s">
        <v>588</v>
      </c>
      <c r="HA2" s="563" t="s">
        <v>589</v>
      </c>
      <c r="HB2" s="968" t="s">
        <v>1097</v>
      </c>
      <c r="HC2" s="969" t="s">
        <v>1210</v>
      </c>
      <c r="HD2" s="970"/>
      <c r="HE2" s="971" t="s">
        <v>1401</v>
      </c>
      <c r="HF2" s="563" t="s">
        <v>1370</v>
      </c>
      <c r="HG2" s="564" t="s">
        <v>1368</v>
      </c>
      <c r="HH2" s="563" t="s">
        <v>1369</v>
      </c>
      <c r="HI2" s="815" t="s">
        <v>1371</v>
      </c>
      <c r="HJ2" s="546" t="s">
        <v>1212</v>
      </c>
      <c r="HK2" s="546" t="s">
        <v>1213</v>
      </c>
      <c r="HL2" s="546" t="s">
        <v>1214</v>
      </c>
      <c r="HM2" s="541" t="s">
        <v>1211</v>
      </c>
      <c r="HN2" s="541" t="s">
        <v>395</v>
      </c>
      <c r="HO2" s="563" t="s">
        <v>818</v>
      </c>
      <c r="HP2" s="563" t="s">
        <v>819</v>
      </c>
      <c r="HQ2" s="563" t="s">
        <v>820</v>
      </c>
      <c r="HR2" s="563" t="s">
        <v>821</v>
      </c>
      <c r="HS2" s="563" t="s">
        <v>822</v>
      </c>
      <c r="HT2" s="563" t="s">
        <v>823</v>
      </c>
      <c r="HU2" s="563" t="s">
        <v>157</v>
      </c>
    </row>
    <row r="3" spans="1:229" s="474" customFormat="1" ht="12" customHeight="1">
      <c r="A3" s="421">
        <v>1</v>
      </c>
      <c r="B3" s="406" t="e">
        <f>IF(#REF!&gt;0,"si","no")</f>
        <v>#REF!</v>
      </c>
      <c r="C3" s="407">
        <v>3</v>
      </c>
      <c r="D3" s="477" t="s">
        <v>791</v>
      </c>
      <c r="E3" s="477" t="s">
        <v>792</v>
      </c>
      <c r="F3" s="477" t="s">
        <v>480</v>
      </c>
      <c r="G3" s="477" t="s">
        <v>1172</v>
      </c>
      <c r="H3" s="820" t="s">
        <v>1184</v>
      </c>
      <c r="I3" s="526" t="s">
        <v>1143</v>
      </c>
      <c r="J3" s="411">
        <v>3846067.41</v>
      </c>
      <c r="K3" s="410">
        <v>65</v>
      </c>
      <c r="L3" s="410" t="str">
        <f aca="true" t="shared" si="0" ref="L3:L26">IF(K3&gt;51,"è","non è")</f>
        <v>è</v>
      </c>
      <c r="M3" s="410" t="s">
        <v>793</v>
      </c>
      <c r="N3" s="409">
        <v>801075</v>
      </c>
      <c r="O3" s="409">
        <f aca="true" t="shared" si="1" ref="O3:O26">+J3-N3</f>
        <v>3044992.41</v>
      </c>
      <c r="P3" s="409">
        <f aca="true" t="shared" si="2" ref="P3:P26">+O3*0.2</f>
        <v>608998.4820000001</v>
      </c>
      <c r="Q3" s="411">
        <f aca="true" t="shared" si="3" ref="Q3:Q26">J3+P3</f>
        <v>4455065.892</v>
      </c>
      <c r="R3" s="411">
        <f aca="true" t="shared" si="4" ref="R3:R26">IF(J3*K3/100&gt;2500000,2500000,J3*K3/100)</f>
        <v>2499943.8165</v>
      </c>
      <c r="S3" s="409">
        <f aca="true" t="shared" si="5" ref="S3:S26">+P3*K3/100</f>
        <v>395849.01330000005</v>
      </c>
      <c r="T3" s="411">
        <f aca="true" t="shared" si="6" ref="T3:T26">IF(R3+S3&gt;2500000,2500000,R3+S3)</f>
        <v>2500000</v>
      </c>
      <c r="U3" s="411">
        <f>T3*0.5</f>
        <v>1250000</v>
      </c>
      <c r="V3" s="411">
        <f>T3*0.35</f>
        <v>875000</v>
      </c>
      <c r="W3" s="409">
        <f>SUM(U3:V3)</f>
        <v>2125000</v>
      </c>
      <c r="X3" s="411">
        <f aca="true" t="shared" si="7" ref="X3:X26">+T3*0.15</f>
        <v>375000</v>
      </c>
      <c r="Y3" s="411">
        <f aca="true" t="shared" si="8" ref="Y3:Y26">J3-R3</f>
        <v>1346123.5935</v>
      </c>
      <c r="Z3" s="411">
        <f aca="true" t="shared" si="9" ref="Z3:Z26">Q3-T3</f>
        <v>1955065.892</v>
      </c>
      <c r="AA3" s="437" t="s">
        <v>794</v>
      </c>
      <c r="AB3" s="438" t="s">
        <v>795</v>
      </c>
      <c r="AC3" s="438" t="s">
        <v>796</v>
      </c>
      <c r="AD3" s="406" t="s">
        <v>797</v>
      </c>
      <c r="AE3" s="406" t="s">
        <v>798</v>
      </c>
      <c r="AF3" s="406" t="s">
        <v>799</v>
      </c>
      <c r="AG3" s="406">
        <v>22</v>
      </c>
      <c r="AH3" s="406">
        <v>70124</v>
      </c>
      <c r="AI3" s="406">
        <v>80017670722</v>
      </c>
      <c r="AJ3" s="440" t="s">
        <v>800</v>
      </c>
      <c r="AK3" s="410">
        <v>100</v>
      </c>
      <c r="AL3" s="410">
        <v>202</v>
      </c>
      <c r="AM3" s="437" t="s">
        <v>999</v>
      </c>
      <c r="AN3" s="445">
        <v>38191</v>
      </c>
      <c r="AO3" s="406" t="s">
        <v>1013</v>
      </c>
      <c r="AP3" s="406">
        <v>1647</v>
      </c>
      <c r="AQ3" s="734">
        <v>12</v>
      </c>
      <c r="AR3" s="734">
        <v>11</v>
      </c>
      <c r="AS3" s="676"/>
      <c r="AT3" s="676" t="s">
        <v>186</v>
      </c>
      <c r="AU3" s="472" t="s">
        <v>295</v>
      </c>
      <c r="AV3" s="473">
        <v>38322</v>
      </c>
      <c r="AW3" s="473">
        <v>38321</v>
      </c>
      <c r="AX3" s="445"/>
      <c r="AY3" s="474" t="s">
        <v>728</v>
      </c>
      <c r="AZ3" s="474" t="s">
        <v>302</v>
      </c>
      <c r="BA3" s="474" t="s">
        <v>797</v>
      </c>
      <c r="BB3" s="474" t="s">
        <v>791</v>
      </c>
      <c r="BC3" s="439" t="s">
        <v>1154</v>
      </c>
      <c r="BD3" s="474" t="s">
        <v>1153</v>
      </c>
      <c r="BE3" s="442" t="s">
        <v>875</v>
      </c>
      <c r="BF3" s="536" t="s">
        <v>221</v>
      </c>
      <c r="BG3" s="473">
        <v>38331</v>
      </c>
      <c r="BH3" s="474" t="s">
        <v>250</v>
      </c>
      <c r="BI3" s="411">
        <f>T3*0.3</f>
        <v>750000</v>
      </c>
      <c r="BJ3" s="411">
        <f>BI3*0.85</f>
        <v>637500</v>
      </c>
      <c r="BK3" s="479">
        <v>2002</v>
      </c>
      <c r="BL3" s="411">
        <f aca="true" t="shared" si="10" ref="BL3:BL15">BI3*0.15</f>
        <v>112500</v>
      </c>
      <c r="BM3" s="479" t="s">
        <v>1104</v>
      </c>
      <c r="BN3" s="411">
        <f aca="true" t="shared" si="11" ref="BN3:BN21">BI3*0.35</f>
        <v>262500</v>
      </c>
      <c r="BO3" s="411"/>
      <c r="BP3" s="411"/>
      <c r="BQ3" s="540">
        <v>677</v>
      </c>
      <c r="BR3" s="445">
        <v>38336</v>
      </c>
      <c r="BS3" s="421" t="s">
        <v>154</v>
      </c>
      <c r="BT3" s="540">
        <v>5626</v>
      </c>
      <c r="BU3" s="741" t="s">
        <v>1168</v>
      </c>
      <c r="BV3" s="445">
        <v>38342</v>
      </c>
      <c r="BW3" s="443">
        <f>637500+112500</f>
        <v>750000</v>
      </c>
      <c r="BX3" s="877">
        <f>637500+112500</f>
        <v>750000</v>
      </c>
      <c r="BY3" s="543">
        <v>168024.81</v>
      </c>
      <c r="BZ3" s="409">
        <f>(BY3*0.65)</f>
        <v>109216.1265</v>
      </c>
      <c r="CA3" s="409">
        <f>BZ3-(BZ3*0.375)</f>
        <v>68260.07906250001</v>
      </c>
      <c r="CB3" s="409">
        <f>CA3*0.85</f>
        <v>58021.06720312501</v>
      </c>
      <c r="CC3" s="409">
        <f>CA3*0.15</f>
        <v>10239.011859375001</v>
      </c>
      <c r="CD3" s="409">
        <f aca="true" t="shared" si="12" ref="CD3:CD8">CA3*0.35</f>
        <v>23891.027671875003</v>
      </c>
      <c r="CE3" s="409">
        <v>0</v>
      </c>
      <c r="CF3" s="409">
        <v>0</v>
      </c>
      <c r="CG3" s="540">
        <v>1630</v>
      </c>
      <c r="CH3" s="445">
        <v>38638</v>
      </c>
      <c r="CI3" s="584" t="s">
        <v>305</v>
      </c>
      <c r="CJ3" s="445">
        <v>38653</v>
      </c>
      <c r="CK3" s="870">
        <f>58021.07+10239.01</f>
        <v>68260.08</v>
      </c>
      <c r="CL3" s="543">
        <v>405974.26</v>
      </c>
      <c r="CM3" s="409">
        <f>(CL3*0.65)</f>
        <v>263883.26900000003</v>
      </c>
      <c r="CN3" s="409">
        <f aca="true" t="shared" si="13" ref="CN3:CN9">CM3-(CM3*0.375)</f>
        <v>164927.04312500003</v>
      </c>
      <c r="CO3" s="409">
        <f aca="true" t="shared" si="14" ref="CO3:CO9">CN3*0.85</f>
        <v>140187.98665625002</v>
      </c>
      <c r="CP3" s="409">
        <f>CN3*0.15-0.01</f>
        <v>24739.046468750006</v>
      </c>
      <c r="CQ3" s="409">
        <f aca="true" t="shared" si="15" ref="CQ3:CQ10">CN3*0.35</f>
        <v>57724.465093750005</v>
      </c>
      <c r="CR3" s="409"/>
      <c r="CS3" s="409"/>
      <c r="CT3" s="540">
        <v>1948</v>
      </c>
      <c r="CU3" s="445">
        <v>38692</v>
      </c>
      <c r="CV3" s="584" t="s">
        <v>1315</v>
      </c>
      <c r="CW3" s="445">
        <v>38692</v>
      </c>
      <c r="CX3" s="847">
        <f>140187.99+24739.05</f>
        <v>164927.03999999998</v>
      </c>
      <c r="CY3" s="543">
        <v>104159.86</v>
      </c>
      <c r="CZ3" s="409">
        <f>(CY3*0.65)</f>
        <v>67703.909</v>
      </c>
      <c r="DA3" s="409">
        <f>CZ3-(CZ3*0.375)</f>
        <v>42314.943125</v>
      </c>
      <c r="DB3" s="409">
        <f>DA3*0.85</f>
        <v>35967.70165625</v>
      </c>
      <c r="DC3" s="409">
        <f>DA3*0.15-0.01</f>
        <v>6347.231468749999</v>
      </c>
      <c r="DD3" s="409">
        <f aca="true" t="shared" si="16" ref="DD3:DD10">DA3*0.35</f>
        <v>14810.230093749999</v>
      </c>
      <c r="DE3" s="409">
        <v>0</v>
      </c>
      <c r="DF3" s="409">
        <v>0</v>
      </c>
      <c r="DG3" s="540">
        <v>625</v>
      </c>
      <c r="DH3" s="445">
        <v>38887</v>
      </c>
      <c r="DI3" s="741" t="s">
        <v>1352</v>
      </c>
      <c r="DJ3" s="445">
        <v>38917</v>
      </c>
      <c r="DK3" s="847">
        <f>35967.7+6347.24</f>
        <v>42314.939999999995</v>
      </c>
      <c r="DL3" s="543">
        <v>259663.08</v>
      </c>
      <c r="DM3" s="409">
        <f>(DL3*0.65)</f>
        <v>168781.002</v>
      </c>
      <c r="DN3" s="409">
        <f>DM3-(DM3*0.375)</f>
        <v>105488.12625</v>
      </c>
      <c r="DO3" s="409">
        <f>DN3*0.85</f>
        <v>89664.9073125</v>
      </c>
      <c r="DP3" s="409">
        <f>DN3*0.15-0.01</f>
        <v>15823.2089375</v>
      </c>
      <c r="DQ3" s="409">
        <f aca="true" t="shared" si="17" ref="DQ3:DQ10">DN3*0.35</f>
        <v>36920.8441875</v>
      </c>
      <c r="DR3" s="409">
        <v>0</v>
      </c>
      <c r="DS3" s="409">
        <v>0</v>
      </c>
      <c r="DT3" s="540">
        <v>275</v>
      </c>
      <c r="DU3" s="445">
        <v>39044</v>
      </c>
      <c r="DV3" s="584" t="s">
        <v>411</v>
      </c>
      <c r="DW3" s="445">
        <v>39071</v>
      </c>
      <c r="DX3" s="866">
        <f>89664.91+15823.21</f>
        <v>105488.12</v>
      </c>
      <c r="DY3" s="543">
        <v>554361.29</v>
      </c>
      <c r="DZ3" s="409">
        <f>(DY3*0.65)</f>
        <v>360334.8385</v>
      </c>
      <c r="EA3" s="409">
        <f>DZ3-(DZ3*0.375)</f>
        <v>225209.27406250002</v>
      </c>
      <c r="EB3" s="409">
        <f aca="true" t="shared" si="18" ref="EB3:EB14">EA3*0.85</f>
        <v>191427.882953125</v>
      </c>
      <c r="EC3" s="409">
        <f aca="true" t="shared" si="19" ref="EC3:EC10">EA3*0.15</f>
        <v>33781.391109375</v>
      </c>
      <c r="ED3" s="409">
        <f aca="true" t="shared" si="20" ref="ED3:ED14">EA3*0.35</f>
        <v>78823.245921875</v>
      </c>
      <c r="EE3" s="472">
        <v>0</v>
      </c>
      <c r="EF3" s="472">
        <v>0</v>
      </c>
      <c r="EG3" s="415">
        <v>69</v>
      </c>
      <c r="EH3" s="420">
        <v>39161</v>
      </c>
      <c r="EI3" s="584" t="s">
        <v>372</v>
      </c>
      <c r="EJ3" s="445">
        <v>39177</v>
      </c>
      <c r="EK3" s="847">
        <f>+EA3</f>
        <v>225209.27406250002</v>
      </c>
      <c r="EL3" s="543">
        <v>166330.61099999998</v>
      </c>
      <c r="EM3" s="409">
        <f>(EL3*0.65)</f>
        <v>108114.89714999999</v>
      </c>
      <c r="EN3" s="409">
        <f>EM3-(EM3*0.375)</f>
        <v>67571.81071875</v>
      </c>
      <c r="EO3" s="409">
        <f>EN3*0.85</f>
        <v>57436.0391109375</v>
      </c>
      <c r="EP3" s="409">
        <f>EN3*0.15</f>
        <v>10135.7716078125</v>
      </c>
      <c r="EQ3" s="409">
        <f>EN3*0.35</f>
        <v>23650.1337515625</v>
      </c>
      <c r="ER3" s="409">
        <v>0</v>
      </c>
      <c r="ES3" s="409">
        <v>0</v>
      </c>
      <c r="ET3" s="540">
        <v>186</v>
      </c>
      <c r="EU3" s="445">
        <v>39252</v>
      </c>
      <c r="EV3" s="584" t="s">
        <v>373</v>
      </c>
      <c r="EW3" s="445">
        <v>39266</v>
      </c>
      <c r="EX3" s="870">
        <f>+EN3</f>
        <v>67571.81071875</v>
      </c>
      <c r="EY3" s="543">
        <v>982482.9</v>
      </c>
      <c r="EZ3" s="409">
        <f>(EY3*0.65)</f>
        <v>638613.885</v>
      </c>
      <c r="FA3" s="409">
        <f>EZ3-(EZ3*0.375)</f>
        <v>399133.678125</v>
      </c>
      <c r="FB3" s="409">
        <f>FA3*0.85</f>
        <v>339263.62640625</v>
      </c>
      <c r="FC3" s="409">
        <f>FA3*0.15</f>
        <v>59870.05171874999</v>
      </c>
      <c r="FD3" s="409">
        <f>FA3*0.35</f>
        <v>139696.78734374998</v>
      </c>
      <c r="FE3" s="707"/>
      <c r="FF3" s="543"/>
      <c r="FG3" s="905">
        <v>411</v>
      </c>
      <c r="FH3" s="445">
        <v>39406</v>
      </c>
      <c r="FI3" s="529" t="s">
        <v>1425</v>
      </c>
      <c r="FJ3" s="963">
        <v>39419</v>
      </c>
      <c r="FK3" s="870">
        <f>FA3</f>
        <v>399133.678125</v>
      </c>
      <c r="FL3" s="543">
        <v>577675.2615384617</v>
      </c>
      <c r="FM3" s="409">
        <f>(FL3*0.65)</f>
        <v>375488.9200000001</v>
      </c>
      <c r="FN3" s="409">
        <f>+FM3-106257.02</f>
        <v>269231.9000000001</v>
      </c>
      <c r="FO3" s="409">
        <f>FN3*0.85</f>
        <v>228847.11500000005</v>
      </c>
      <c r="FP3" s="409">
        <f>FN3*0.15-0.01</f>
        <v>40384.77500000001</v>
      </c>
      <c r="FQ3" s="409">
        <f>FN3*0.35</f>
        <v>94231.16500000002</v>
      </c>
      <c r="FR3" s="543">
        <v>0</v>
      </c>
      <c r="FS3" s="543">
        <v>0</v>
      </c>
      <c r="FT3" s="539">
        <v>369</v>
      </c>
      <c r="FU3" s="893">
        <v>39715</v>
      </c>
      <c r="FV3" s="542" t="s">
        <v>441</v>
      </c>
      <c r="FW3" s="1123">
        <v>39730</v>
      </c>
      <c r="FX3" s="870">
        <f>+FN3</f>
        <v>269231.9000000001</v>
      </c>
      <c r="FY3" s="543">
        <v>171023.71</v>
      </c>
      <c r="FZ3" s="409">
        <f>(FY3*0.65)</f>
        <v>111165.4115</v>
      </c>
      <c r="GA3" s="409">
        <f>+FZ3</f>
        <v>111165.4115</v>
      </c>
      <c r="GB3" s="409">
        <f>GA3*0.85</f>
        <v>94490.599775</v>
      </c>
      <c r="GC3" s="409">
        <f>GA3*0.15</f>
        <v>16674.811725</v>
      </c>
      <c r="GD3" s="409">
        <f>GA3*0.35</f>
        <v>38907.894025</v>
      </c>
      <c r="GE3" s="543">
        <v>0</v>
      </c>
      <c r="GF3" s="543">
        <v>0</v>
      </c>
      <c r="GG3" s="539">
        <v>375</v>
      </c>
      <c r="GH3" s="445">
        <v>39979</v>
      </c>
      <c r="GI3" s="543"/>
      <c r="GJ3" s="543"/>
      <c r="GK3" s="870"/>
      <c r="GL3" s="543"/>
      <c r="GM3" s="409"/>
      <c r="GN3" s="409"/>
      <c r="GO3" s="409"/>
      <c r="GP3" s="409"/>
      <c r="GQ3" s="409"/>
      <c r="GR3" s="543"/>
      <c r="GS3" s="543"/>
      <c r="GT3" s="540"/>
      <c r="GU3" s="445"/>
      <c r="GV3" s="870"/>
      <c r="GW3" s="870"/>
      <c r="GX3" s="870"/>
      <c r="GY3" s="899"/>
      <c r="GZ3" s="888">
        <f>FN3+EZ3+EM3+DZ3+DM3+CZ3+CM3+BZ3</f>
        <v>1985879.8271500003</v>
      </c>
      <c r="HA3" s="443">
        <f>CX3+CK3+DK3+DX3+EK3+EX3</f>
        <v>673771.26478125</v>
      </c>
      <c r="HB3" s="568">
        <v>38117</v>
      </c>
      <c r="HC3" s="571">
        <f>36+6+0.73</f>
        <v>42.73</v>
      </c>
      <c r="HD3" s="733">
        <f>HC3/12</f>
        <v>3.560833333333333</v>
      </c>
      <c r="HE3" s="441">
        <f>HB3+(HC3*365/12)</f>
        <v>39416.70416666667</v>
      </c>
      <c r="HF3" s="444">
        <f>EM3+DZ3+DM3+CZ3+CM3+BZ3</f>
        <v>1078034.04215</v>
      </c>
      <c r="HG3" s="817">
        <v>3</v>
      </c>
      <c r="HH3" s="444">
        <f>HF3/HG3</f>
        <v>359344.6807166667</v>
      </c>
      <c r="HI3" s="444">
        <f>HH3*1.5</f>
        <v>539017.021075</v>
      </c>
      <c r="HJ3" s="543">
        <f aca="true" t="shared" si="21" ref="HJ3:HJ11">(T3*0.5)/HD3</f>
        <v>351041.4228879008</v>
      </c>
      <c r="HK3" s="543">
        <f aca="true" t="shared" si="22" ref="HK3:HK11">(T3*0.5)/HD3</f>
        <v>351041.4228879008</v>
      </c>
      <c r="HL3" s="543">
        <f>(T3*0.5)/HD3</f>
        <v>351041.4228879008</v>
      </c>
      <c r="HM3" s="543">
        <f>(T3*0.2)</f>
        <v>500000</v>
      </c>
      <c r="HO3" s="974">
        <f aca="true" t="shared" si="23" ref="HO3:HO11">+GL3+FY3+FL3+EY3+EL3+DY3+DL3+CY3+CL3+BY3</f>
        <v>3389695.782538462</v>
      </c>
      <c r="HP3" s="974">
        <f aca="true" t="shared" si="24" ref="HP3:HP11">+GM3+FZ3+FM3+EZ3+EM3+DZ3+DM3+CZ3+CM3+BZ3</f>
        <v>2203302.25865</v>
      </c>
      <c r="HQ3" s="974">
        <f aca="true" t="shared" si="25" ref="HQ3:HQ11">+HP3*0.5</f>
        <v>1101651.129325</v>
      </c>
      <c r="HR3" s="974">
        <f aca="true" t="shared" si="26" ref="HR3:HR11">+HP3*0.35</f>
        <v>771155.7905275</v>
      </c>
      <c r="HS3" s="974">
        <f aca="true" t="shared" si="27" ref="HS3:HS11">+HR3+HQ3</f>
        <v>1872806.9198525</v>
      </c>
      <c r="HT3" s="974">
        <f aca="true" t="shared" si="28" ref="HT3:HT11">+HP3*0.15</f>
        <v>330495.3387975</v>
      </c>
      <c r="HU3" s="974">
        <f aca="true" t="shared" si="29" ref="HU3:HU11">+HO3-HP3</f>
        <v>1186393.5238884618</v>
      </c>
    </row>
    <row r="4" spans="1:229" s="474" customFormat="1" ht="12" customHeight="1">
      <c r="A4" s="421">
        <v>2</v>
      </c>
      <c r="B4" s="406" t="e">
        <f>IF(#REF!&gt;0,"si","no")</f>
        <v>#REF!</v>
      </c>
      <c r="C4" s="407">
        <v>4</v>
      </c>
      <c r="D4" s="477" t="s">
        <v>882</v>
      </c>
      <c r="E4" s="690" t="s">
        <v>525</v>
      </c>
      <c r="F4" s="477"/>
      <c r="G4" s="477" t="s">
        <v>1221</v>
      </c>
      <c r="H4" s="820" t="s">
        <v>1184</v>
      </c>
      <c r="I4" s="526" t="s">
        <v>380</v>
      </c>
      <c r="J4" s="411">
        <v>1730560</v>
      </c>
      <c r="K4" s="410">
        <v>65</v>
      </c>
      <c r="L4" s="410" t="str">
        <f t="shared" si="0"/>
        <v>è</v>
      </c>
      <c r="M4" s="410" t="s">
        <v>793</v>
      </c>
      <c r="N4" s="409">
        <v>670360</v>
      </c>
      <c r="O4" s="409">
        <f t="shared" si="1"/>
        <v>1060200</v>
      </c>
      <c r="P4" s="409">
        <f t="shared" si="2"/>
        <v>212040</v>
      </c>
      <c r="Q4" s="411">
        <f t="shared" si="3"/>
        <v>1942600</v>
      </c>
      <c r="R4" s="411">
        <f t="shared" si="4"/>
        <v>1124864</v>
      </c>
      <c r="S4" s="409">
        <f t="shared" si="5"/>
        <v>137826</v>
      </c>
      <c r="T4" s="411">
        <v>1262690</v>
      </c>
      <c r="U4" s="411">
        <f aca="true" t="shared" si="30" ref="U4:U26">T4*0.5</f>
        <v>631345</v>
      </c>
      <c r="V4" s="411">
        <f aca="true" t="shared" si="31" ref="V4:V26">T4*0.35</f>
        <v>441941.5</v>
      </c>
      <c r="W4" s="409">
        <f aca="true" t="shared" si="32" ref="W4:W26">+T4*0.85</f>
        <v>1073286.5</v>
      </c>
      <c r="X4" s="411">
        <f t="shared" si="7"/>
        <v>189403.5</v>
      </c>
      <c r="Y4" s="411">
        <f t="shared" si="8"/>
        <v>605696</v>
      </c>
      <c r="Z4" s="411">
        <f t="shared" si="9"/>
        <v>679910</v>
      </c>
      <c r="AA4" s="437">
        <v>37656</v>
      </c>
      <c r="AB4" s="438" t="s">
        <v>795</v>
      </c>
      <c r="AC4" s="438" t="s">
        <v>883</v>
      </c>
      <c r="AD4" s="406" t="s">
        <v>797</v>
      </c>
      <c r="AE4" s="406" t="s">
        <v>798</v>
      </c>
      <c r="AF4" s="406" t="s">
        <v>799</v>
      </c>
      <c r="AG4" s="406">
        <v>22</v>
      </c>
      <c r="AH4" s="406">
        <v>70100</v>
      </c>
      <c r="AI4" s="421">
        <v>93287730720</v>
      </c>
      <c r="AJ4" s="735" t="s">
        <v>50</v>
      </c>
      <c r="AK4" s="410">
        <v>59</v>
      </c>
      <c r="AL4" s="410">
        <v>266</v>
      </c>
      <c r="AM4" s="441">
        <v>38177</v>
      </c>
      <c r="AN4" s="441">
        <v>38238</v>
      </c>
      <c r="AO4" s="406" t="s">
        <v>68</v>
      </c>
      <c r="AP4" s="406">
        <v>1682</v>
      </c>
      <c r="AQ4" s="410">
        <v>30</v>
      </c>
      <c r="AR4" s="410">
        <v>25</v>
      </c>
      <c r="AS4" s="676" t="s">
        <v>168</v>
      </c>
      <c r="AT4" s="676" t="s">
        <v>168</v>
      </c>
      <c r="AU4" s="472" t="s">
        <v>295</v>
      </c>
      <c r="AV4" s="476">
        <v>38302</v>
      </c>
      <c r="AW4" s="476">
        <v>38274</v>
      </c>
      <c r="AX4" s="714">
        <v>38320</v>
      </c>
      <c r="AY4" s="477" t="s">
        <v>728</v>
      </c>
      <c r="AZ4" s="477" t="s">
        <v>302</v>
      </c>
      <c r="BA4" s="477" t="s">
        <v>797</v>
      </c>
      <c r="BB4" s="477" t="s">
        <v>1129</v>
      </c>
      <c r="BC4" s="406" t="s">
        <v>1287</v>
      </c>
      <c r="BD4" s="477" t="s">
        <v>303</v>
      </c>
      <c r="BE4" s="477"/>
      <c r="BF4" s="477" t="s">
        <v>990</v>
      </c>
      <c r="BG4" s="476">
        <v>38317</v>
      </c>
      <c r="BH4" s="477" t="s">
        <v>1130</v>
      </c>
      <c r="BI4" s="411">
        <f aca="true" t="shared" si="33" ref="BI4:BI26">T4*0.3</f>
        <v>378807</v>
      </c>
      <c r="BJ4" s="411">
        <f aca="true" t="shared" si="34" ref="BJ4:BJ26">BI4*0.85</f>
        <v>321985.95</v>
      </c>
      <c r="BK4" s="419">
        <v>2003</v>
      </c>
      <c r="BL4" s="411">
        <f t="shared" si="10"/>
        <v>56821.049999999996</v>
      </c>
      <c r="BM4" s="419">
        <v>2003</v>
      </c>
      <c r="BN4" s="411">
        <f t="shared" si="11"/>
        <v>132582.44999999998</v>
      </c>
      <c r="BO4" s="411"/>
      <c r="BP4" s="411"/>
      <c r="BQ4" s="410">
        <v>654</v>
      </c>
      <c r="BR4" s="441">
        <v>38323</v>
      </c>
      <c r="BS4" s="406" t="s">
        <v>154</v>
      </c>
      <c r="BT4" s="540">
        <v>5422</v>
      </c>
      <c r="BU4" s="741" t="s">
        <v>347</v>
      </c>
      <c r="BV4" s="445">
        <v>38338</v>
      </c>
      <c r="BW4" s="443">
        <f>321985.95+56821.05</f>
        <v>378807</v>
      </c>
      <c r="BX4" s="877">
        <f>321985.95+56821.05</f>
        <v>378807</v>
      </c>
      <c r="BY4" s="543">
        <v>59836.382439999994</v>
      </c>
      <c r="BZ4" s="409">
        <f>(BY4*0.65)</f>
        <v>38893.648585999996</v>
      </c>
      <c r="CA4" s="409">
        <f>BZ4-(BZ4*0.375)</f>
        <v>24308.530366249997</v>
      </c>
      <c r="CB4" s="409">
        <f>CA4*0.85</f>
        <v>20662.250811312497</v>
      </c>
      <c r="CC4" s="409">
        <f>CA4*0.15</f>
        <v>3646.2795549374996</v>
      </c>
      <c r="CD4" s="409">
        <f t="shared" si="12"/>
        <v>8507.985628187498</v>
      </c>
      <c r="CE4" s="409">
        <v>0</v>
      </c>
      <c r="CF4" s="409">
        <v>0</v>
      </c>
      <c r="CG4" s="410">
        <v>1609</v>
      </c>
      <c r="CH4" s="441">
        <v>38653</v>
      </c>
      <c r="CI4" s="702" t="s">
        <v>13</v>
      </c>
      <c r="CJ4" s="441">
        <v>38644</v>
      </c>
      <c r="CK4" s="871">
        <f>20662.25+3646.28</f>
        <v>24308.53</v>
      </c>
      <c r="CL4" s="543">
        <v>156049.45900000003</v>
      </c>
      <c r="CM4" s="409">
        <f>(CL4*0.65)</f>
        <v>101432.14835000002</v>
      </c>
      <c r="CN4" s="409">
        <f t="shared" si="13"/>
        <v>63395.09271875001</v>
      </c>
      <c r="CO4" s="409">
        <f t="shared" si="14"/>
        <v>53885.828810937506</v>
      </c>
      <c r="CP4" s="409">
        <f>CN4*0.15</f>
        <v>9509.263907812501</v>
      </c>
      <c r="CQ4" s="409">
        <f t="shared" si="15"/>
        <v>22188.282451562503</v>
      </c>
      <c r="CR4" s="409">
        <v>0</v>
      </c>
      <c r="CS4" s="409">
        <v>0</v>
      </c>
      <c r="CT4" s="410">
        <v>1239</v>
      </c>
      <c r="CU4" s="441">
        <v>38964</v>
      </c>
      <c r="CV4" s="584" t="s">
        <v>1358</v>
      </c>
      <c r="CW4" s="441">
        <v>38985</v>
      </c>
      <c r="CX4" s="848">
        <f>53885.83+9509.26</f>
        <v>63395.090000000004</v>
      </c>
      <c r="CY4" s="543">
        <v>141480.69</v>
      </c>
      <c r="CZ4" s="409">
        <f>(CY4*0.65)</f>
        <v>91962.4485</v>
      </c>
      <c r="DA4" s="409">
        <f>CZ4-(CZ4*0.375)</f>
        <v>57476.5303125</v>
      </c>
      <c r="DB4" s="409">
        <f>DA4*0.85</f>
        <v>48855.050765625</v>
      </c>
      <c r="DC4" s="409">
        <f aca="true" t="shared" si="35" ref="DC4:DC10">DA4*0.15</f>
        <v>8621.479546875</v>
      </c>
      <c r="DD4" s="409">
        <f t="shared" si="16"/>
        <v>20116.785609374998</v>
      </c>
      <c r="DE4" s="409">
        <v>0</v>
      </c>
      <c r="DF4" s="409">
        <v>0</v>
      </c>
      <c r="DG4" s="410">
        <v>277</v>
      </c>
      <c r="DH4" s="441">
        <v>39044</v>
      </c>
      <c r="DI4" s="702" t="s">
        <v>413</v>
      </c>
      <c r="DJ4" s="441">
        <v>39071</v>
      </c>
      <c r="DK4" s="847">
        <f>48855.05+8621.48</f>
        <v>57476.53</v>
      </c>
      <c r="DL4" s="543">
        <v>114408.13</v>
      </c>
      <c r="DM4" s="409">
        <f>(DL4*0.65)</f>
        <v>74365.28450000001</v>
      </c>
      <c r="DN4" s="409">
        <f>DM4-(DM4*0.375)</f>
        <v>46478.302812500006</v>
      </c>
      <c r="DO4" s="409">
        <f>DN4*0.85-0.01</f>
        <v>39506.547390625004</v>
      </c>
      <c r="DP4" s="409">
        <f aca="true" t="shared" si="36" ref="DP4:DP10">DN4*0.15</f>
        <v>6971.745421875001</v>
      </c>
      <c r="DQ4" s="409">
        <f t="shared" si="17"/>
        <v>16267.405984375</v>
      </c>
      <c r="DR4" s="472">
        <v>0</v>
      </c>
      <c r="DS4" s="472">
        <v>0</v>
      </c>
      <c r="DT4" s="417">
        <v>33</v>
      </c>
      <c r="DU4" s="441">
        <v>39128</v>
      </c>
      <c r="DV4" s="856" t="s">
        <v>1397</v>
      </c>
      <c r="DW4" s="441">
        <v>39147</v>
      </c>
      <c r="DX4" s="866">
        <f>39506.55+6971.75</f>
        <v>46478.3</v>
      </c>
      <c r="DY4" s="543">
        <v>103301.79</v>
      </c>
      <c r="DZ4" s="409">
        <f>(DY4*0.65)</f>
        <v>67146.1635</v>
      </c>
      <c r="EA4" s="409">
        <f>DZ4-(DZ4*0.375)</f>
        <v>41966.3521875</v>
      </c>
      <c r="EB4" s="409">
        <f t="shared" si="18"/>
        <v>35671.399359375</v>
      </c>
      <c r="EC4" s="409">
        <f t="shared" si="19"/>
        <v>6294.9528281249995</v>
      </c>
      <c r="ED4" s="409">
        <f t="shared" si="20"/>
        <v>14688.223265625</v>
      </c>
      <c r="EE4" s="472">
        <v>0</v>
      </c>
      <c r="EF4" s="472">
        <v>0</v>
      </c>
      <c r="EG4" s="415">
        <v>187</v>
      </c>
      <c r="EH4" s="441">
        <v>39252</v>
      </c>
      <c r="EI4" s="584" t="s">
        <v>1405</v>
      </c>
      <c r="EJ4" s="441">
        <v>39272</v>
      </c>
      <c r="EK4" s="847">
        <f>+EA4</f>
        <v>41966.3521875</v>
      </c>
      <c r="EL4" s="543">
        <v>741659.2404000001</v>
      </c>
      <c r="EM4" s="409">
        <f>(EL4*0.65)</f>
        <v>482078.5062600001</v>
      </c>
      <c r="EN4" s="409">
        <f>EM4-(EM4*0.375)</f>
        <v>301299.0664125001</v>
      </c>
      <c r="EO4" s="409">
        <f>EN4*0.85</f>
        <v>256104.2064506251</v>
      </c>
      <c r="EP4" s="409">
        <f>EN4*0.15</f>
        <v>45194.859961875016</v>
      </c>
      <c r="EQ4" s="409">
        <f>EN4*0.35</f>
        <v>105454.67324437504</v>
      </c>
      <c r="ER4" s="472">
        <v>0</v>
      </c>
      <c r="ES4" s="472">
        <v>0</v>
      </c>
      <c r="ET4" s="539">
        <v>460</v>
      </c>
      <c r="EU4" s="416">
        <v>39748</v>
      </c>
      <c r="EV4" s="581" t="s">
        <v>225</v>
      </c>
      <c r="EW4" s="441">
        <v>39770</v>
      </c>
      <c r="EX4" s="870">
        <f>+EN4</f>
        <v>301299.0664125001</v>
      </c>
      <c r="EY4" s="543">
        <v>293248.36</v>
      </c>
      <c r="EZ4" s="409">
        <f>(EY4*0.65)</f>
        <v>190611.434</v>
      </c>
      <c r="FA4" s="409">
        <f>EZ4-57852.68</f>
        <v>132758.75400000002</v>
      </c>
      <c r="FB4" s="409">
        <f>FA4*0.85</f>
        <v>112844.94090000002</v>
      </c>
      <c r="FC4" s="409">
        <f>FA4*0.15</f>
        <v>19913.813100000003</v>
      </c>
      <c r="FD4" s="409">
        <f>FA4*0.35</f>
        <v>46465.5639</v>
      </c>
      <c r="FE4" s="472">
        <v>0</v>
      </c>
      <c r="FF4" s="472">
        <v>0</v>
      </c>
      <c r="FG4" s="905">
        <v>135</v>
      </c>
      <c r="FH4" s="445">
        <v>39888</v>
      </c>
      <c r="FI4" s="581" t="s">
        <v>241</v>
      </c>
      <c r="FJ4" s="1172">
        <v>39910</v>
      </c>
      <c r="FK4" s="870">
        <f aca="true" t="shared" si="37" ref="FK4:FK12">FA4</f>
        <v>132758.75400000002</v>
      </c>
      <c r="FL4" s="543">
        <v>184367.3246869785</v>
      </c>
      <c r="FM4" s="409">
        <f>(FL4*0.65)</f>
        <v>119838.76104653603</v>
      </c>
      <c r="FN4" s="409">
        <f>FM4</f>
        <v>119838.76104653603</v>
      </c>
      <c r="FO4" s="409">
        <f>FN4*0.85</f>
        <v>101862.94688955562</v>
      </c>
      <c r="FP4" s="409">
        <f>FN4*0.15</f>
        <v>17975.814156980403</v>
      </c>
      <c r="FQ4" s="409">
        <f>FN4*0.35</f>
        <v>41943.56636628761</v>
      </c>
      <c r="FR4" s="472"/>
      <c r="FS4" s="472"/>
      <c r="FT4" s="539">
        <v>435</v>
      </c>
      <c r="FU4" s="893">
        <v>39990</v>
      </c>
      <c r="FV4" s="707" t="s">
        <v>403</v>
      </c>
      <c r="FW4" s="472"/>
      <c r="FX4" s="871"/>
      <c r="FY4" s="543"/>
      <c r="FZ4" s="409"/>
      <c r="GA4" s="409"/>
      <c r="GB4" s="409"/>
      <c r="GC4" s="409"/>
      <c r="GD4" s="409"/>
      <c r="GF4" s="472"/>
      <c r="GG4" s="472"/>
      <c r="GH4" s="707"/>
      <c r="GI4" s="472"/>
      <c r="GJ4" s="472"/>
      <c r="GK4" s="871"/>
      <c r="GL4" s="871"/>
      <c r="GM4" s="871"/>
      <c r="GN4" s="871"/>
      <c r="GO4" s="871"/>
      <c r="GP4" s="871"/>
      <c r="GQ4" s="871"/>
      <c r="GR4" s="871"/>
      <c r="GS4" s="871"/>
      <c r="GT4" s="871"/>
      <c r="GU4" s="871"/>
      <c r="GV4" s="871"/>
      <c r="GW4" s="871"/>
      <c r="GX4" s="871"/>
      <c r="GY4" s="899"/>
      <c r="GZ4" s="888">
        <f aca="true" t="shared" si="38" ref="GZ4:GZ26">EM4+DZ4+DM4+CZ4+CM4+BZ4</f>
        <v>855878.199696</v>
      </c>
      <c r="HA4" s="443">
        <f aca="true" t="shared" si="39" ref="HA4:HA26">CX4+CK4+DK4+DX4+EK4+EX4</f>
        <v>534923.8686000002</v>
      </c>
      <c r="HB4" s="569">
        <v>38289</v>
      </c>
      <c r="HC4" s="453">
        <f>30+6+5+3</f>
        <v>44</v>
      </c>
      <c r="HD4" s="733">
        <f>HC4/12</f>
        <v>3.6666666666666665</v>
      </c>
      <c r="HE4" s="441">
        <f aca="true" t="shared" si="40" ref="HE4:HE26">HB4+(HC4*365/12)</f>
        <v>39627.333333333336</v>
      </c>
      <c r="HF4" s="444">
        <f aca="true" t="shared" si="41" ref="HF4:HF26">EM4+DZ4+DM4+CZ4+CM4+BZ4</f>
        <v>855878.199696</v>
      </c>
      <c r="HG4" s="817">
        <v>2</v>
      </c>
      <c r="HH4" s="444">
        <f>HF4/HG4</f>
        <v>427939.099848</v>
      </c>
      <c r="HI4" s="444">
        <f>HH4*1.5</f>
        <v>641908.649772</v>
      </c>
      <c r="HJ4" s="543">
        <f t="shared" si="21"/>
        <v>172185</v>
      </c>
      <c r="HK4" s="543">
        <f t="shared" si="22"/>
        <v>172185</v>
      </c>
      <c r="HL4" s="543">
        <f>(T4*0.5)/HD4</f>
        <v>172185</v>
      </c>
      <c r="HM4" s="543">
        <f aca="true" t="shared" si="42" ref="HM4:HM26">(T4*0.2)</f>
        <v>252538</v>
      </c>
      <c r="HN4" s="472"/>
      <c r="HO4" s="974">
        <f t="shared" si="23"/>
        <v>1794351.3765269788</v>
      </c>
      <c r="HP4" s="974">
        <f t="shared" si="24"/>
        <v>1166328.3947425361</v>
      </c>
      <c r="HQ4" s="974">
        <f t="shared" si="25"/>
        <v>583164.1973712681</v>
      </c>
      <c r="HR4" s="974">
        <f t="shared" si="26"/>
        <v>408214.9381598876</v>
      </c>
      <c r="HS4" s="974">
        <f t="shared" si="27"/>
        <v>991379.1355311556</v>
      </c>
      <c r="HT4" s="974">
        <f t="shared" si="28"/>
        <v>174949.2592113804</v>
      </c>
      <c r="HU4" s="974">
        <f t="shared" si="29"/>
        <v>628022.9817844427</v>
      </c>
    </row>
    <row r="5" spans="1:229" s="474" customFormat="1" ht="12" customHeight="1">
      <c r="A5" s="421">
        <v>3</v>
      </c>
      <c r="B5" s="406" t="e">
        <f>IF(#REF!&gt;0,"si","no")</f>
        <v>#REF!</v>
      </c>
      <c r="C5" s="407">
        <v>8</v>
      </c>
      <c r="D5" s="477" t="s">
        <v>857</v>
      </c>
      <c r="E5" s="477" t="s">
        <v>858</v>
      </c>
      <c r="F5" s="477" t="s">
        <v>480</v>
      </c>
      <c r="G5" s="477" t="s">
        <v>408</v>
      </c>
      <c r="H5" s="820" t="s">
        <v>1182</v>
      </c>
      <c r="I5" s="526" t="s">
        <v>1404</v>
      </c>
      <c r="J5" s="411">
        <v>2422000</v>
      </c>
      <c r="K5" s="410">
        <v>64</v>
      </c>
      <c r="L5" s="410" t="str">
        <f t="shared" si="0"/>
        <v>è</v>
      </c>
      <c r="M5" s="410" t="s">
        <v>793</v>
      </c>
      <c r="N5" s="409">
        <v>274000</v>
      </c>
      <c r="O5" s="409">
        <f t="shared" si="1"/>
        <v>2148000</v>
      </c>
      <c r="P5" s="409">
        <f t="shared" si="2"/>
        <v>429600</v>
      </c>
      <c r="Q5" s="411">
        <f t="shared" si="3"/>
        <v>2851600</v>
      </c>
      <c r="R5" s="411">
        <f t="shared" si="4"/>
        <v>1550080</v>
      </c>
      <c r="S5" s="409">
        <f t="shared" si="5"/>
        <v>274944</v>
      </c>
      <c r="T5" s="411">
        <f t="shared" si="6"/>
        <v>1825024</v>
      </c>
      <c r="U5" s="411">
        <f t="shared" si="30"/>
        <v>912512</v>
      </c>
      <c r="V5" s="411">
        <f t="shared" si="31"/>
        <v>638758.3999999999</v>
      </c>
      <c r="W5" s="409">
        <f t="shared" si="32"/>
        <v>1551270.4</v>
      </c>
      <c r="X5" s="411">
        <f t="shared" si="7"/>
        <v>273753.6</v>
      </c>
      <c r="Y5" s="411">
        <f t="shared" si="8"/>
        <v>871920</v>
      </c>
      <c r="Z5" s="411">
        <f t="shared" si="9"/>
        <v>1026576</v>
      </c>
      <c r="AA5" s="437" t="s">
        <v>794</v>
      </c>
      <c r="AB5" s="438" t="s">
        <v>795</v>
      </c>
      <c r="AC5" s="438" t="s">
        <v>859</v>
      </c>
      <c r="AD5" s="406" t="s">
        <v>797</v>
      </c>
      <c r="AE5" s="406" t="s">
        <v>798</v>
      </c>
      <c r="AF5" s="406" t="s">
        <v>860</v>
      </c>
      <c r="AG5" s="406">
        <v>228</v>
      </c>
      <c r="AH5" s="438" t="s">
        <v>861</v>
      </c>
      <c r="AI5" s="736" t="s">
        <v>862</v>
      </c>
      <c r="AJ5" s="735" t="s">
        <v>863</v>
      </c>
      <c r="AK5" s="410">
        <v>64</v>
      </c>
      <c r="AL5" s="410">
        <v>201</v>
      </c>
      <c r="AM5" s="437" t="s">
        <v>999</v>
      </c>
      <c r="AN5" s="445">
        <v>38191</v>
      </c>
      <c r="AO5" s="406" t="s">
        <v>1011</v>
      </c>
      <c r="AP5" s="406">
        <v>1650</v>
      </c>
      <c r="AQ5" s="734">
        <v>15</v>
      </c>
      <c r="AR5" s="734">
        <v>14</v>
      </c>
      <c r="AS5" s="676" t="s">
        <v>187</v>
      </c>
      <c r="AT5" s="679" t="s">
        <v>1093</v>
      </c>
      <c r="AU5" s="472" t="s">
        <v>295</v>
      </c>
      <c r="AV5" s="473">
        <v>38331</v>
      </c>
      <c r="AW5" s="473">
        <v>38560</v>
      </c>
      <c r="AX5" s="445"/>
      <c r="AY5" s="474" t="s">
        <v>734</v>
      </c>
      <c r="AZ5" s="474" t="s">
        <v>1157</v>
      </c>
      <c r="BA5" s="474" t="s">
        <v>797</v>
      </c>
      <c r="BB5" s="474" t="s">
        <v>1155</v>
      </c>
      <c r="BC5" s="421" t="s">
        <v>1156</v>
      </c>
      <c r="BD5" s="474" t="s">
        <v>1048</v>
      </c>
      <c r="BE5" s="474" t="s">
        <v>874</v>
      </c>
      <c r="BF5" s="675" t="s">
        <v>1049</v>
      </c>
      <c r="BG5" s="473">
        <v>38324</v>
      </c>
      <c r="BH5" s="474" t="s">
        <v>1050</v>
      </c>
      <c r="BI5" s="411">
        <f t="shared" si="33"/>
        <v>547507.2</v>
      </c>
      <c r="BJ5" s="411">
        <f t="shared" si="34"/>
        <v>465381.11999999994</v>
      </c>
      <c r="BK5" s="479" t="s">
        <v>1104</v>
      </c>
      <c r="BL5" s="411">
        <f aca="true" t="shared" si="43" ref="BL5:BL26">BI5*0.15</f>
        <v>82126.07999999999</v>
      </c>
      <c r="BM5" s="479" t="s">
        <v>1104</v>
      </c>
      <c r="BN5" s="411">
        <f t="shared" si="11"/>
        <v>191627.51999999996</v>
      </c>
      <c r="BO5" s="411"/>
      <c r="BP5" s="411"/>
      <c r="BQ5" s="540">
        <v>676</v>
      </c>
      <c r="BR5" s="445">
        <v>38335</v>
      </c>
      <c r="BS5" s="421" t="s">
        <v>154</v>
      </c>
      <c r="BT5" s="540">
        <v>5600</v>
      </c>
      <c r="BU5" s="837" t="s">
        <v>354</v>
      </c>
      <c r="BV5" s="445">
        <v>38341</v>
      </c>
      <c r="BW5" s="443">
        <f>465381.12+82126.08</f>
        <v>547507.2</v>
      </c>
      <c r="BX5" s="877">
        <f>465381.12+82126.08</f>
        <v>547507.2</v>
      </c>
      <c r="BY5" s="543">
        <v>224888.28</v>
      </c>
      <c r="BZ5" s="409">
        <f>(BY5*0.64)</f>
        <v>143928.4992</v>
      </c>
      <c r="CA5" s="409">
        <f>BZ5-(BZ5*0.375)</f>
        <v>89955.31199999999</v>
      </c>
      <c r="CB5" s="409">
        <f>CA5*0.85-0.01</f>
        <v>76462.0052</v>
      </c>
      <c r="CC5" s="409">
        <f>CA5*0.15</f>
        <v>13493.296799999998</v>
      </c>
      <c r="CD5" s="409">
        <f t="shared" si="12"/>
        <v>31484.359199999995</v>
      </c>
      <c r="CE5" s="409">
        <v>0</v>
      </c>
      <c r="CF5" s="409">
        <v>0</v>
      </c>
      <c r="CG5" s="540">
        <v>1702</v>
      </c>
      <c r="CH5" s="441">
        <v>38659</v>
      </c>
      <c r="CI5" s="741" t="s">
        <v>1314</v>
      </c>
      <c r="CJ5" s="445">
        <v>38659</v>
      </c>
      <c r="CK5" s="870">
        <f>76462.01+13493.3</f>
        <v>89955.31</v>
      </c>
      <c r="CL5" s="543">
        <v>383969.698</v>
      </c>
      <c r="CM5" s="409">
        <f>+CL5*0.65</f>
        <v>249580.3037</v>
      </c>
      <c r="CN5" s="409">
        <f t="shared" si="13"/>
        <v>155987.6898125</v>
      </c>
      <c r="CO5" s="409">
        <f t="shared" si="14"/>
        <v>132589.536340625</v>
      </c>
      <c r="CP5" s="409">
        <f>CN5*0.15</f>
        <v>23398.153471875</v>
      </c>
      <c r="CQ5" s="409">
        <f t="shared" si="15"/>
        <v>54595.691434374996</v>
      </c>
      <c r="CR5" s="409">
        <v>0</v>
      </c>
      <c r="CS5" s="409">
        <v>0</v>
      </c>
      <c r="CT5" s="540">
        <v>782</v>
      </c>
      <c r="CU5" s="445">
        <v>38923</v>
      </c>
      <c r="CV5" s="584" t="s">
        <v>1360</v>
      </c>
      <c r="CW5" s="445">
        <v>38987</v>
      </c>
      <c r="CX5" s="847">
        <f>132589.54+23398.15</f>
        <v>155987.69</v>
      </c>
      <c r="CY5" s="543">
        <v>525796.99</v>
      </c>
      <c r="CZ5" s="409">
        <f>+CY5*0.65</f>
        <v>341768.0435</v>
      </c>
      <c r="DA5" s="409">
        <f>CZ5-(CZ5*0.375)</f>
        <v>213605.02718750003</v>
      </c>
      <c r="DB5" s="409">
        <f>DA5*0.85</f>
        <v>181564.27310937503</v>
      </c>
      <c r="DC5" s="409">
        <f t="shared" si="35"/>
        <v>32040.754078125003</v>
      </c>
      <c r="DD5" s="409">
        <f t="shared" si="16"/>
        <v>74761.759515625</v>
      </c>
      <c r="DE5" s="409">
        <v>0</v>
      </c>
      <c r="DF5" s="409">
        <v>0</v>
      </c>
      <c r="DG5" s="540">
        <v>304</v>
      </c>
      <c r="DH5" s="445">
        <v>39065</v>
      </c>
      <c r="DI5" s="584" t="s">
        <v>1384</v>
      </c>
      <c r="DJ5" s="445">
        <v>39070</v>
      </c>
      <c r="DK5" s="847">
        <f>181564.27+32040.75</f>
        <v>213605.02</v>
      </c>
      <c r="DL5" s="543">
        <v>729180.33</v>
      </c>
      <c r="DM5" s="409">
        <f>+DL5*0.65</f>
        <v>473967.2145</v>
      </c>
      <c r="DN5" s="409">
        <f>DM5-(DM5*0.375)</f>
        <v>296229.5090625</v>
      </c>
      <c r="DO5" s="409">
        <f aca="true" t="shared" si="44" ref="DO5:DO10">DN5*0.85</f>
        <v>251795.08270312496</v>
      </c>
      <c r="DP5" s="409">
        <f t="shared" si="36"/>
        <v>44434.42635937499</v>
      </c>
      <c r="DQ5" s="409">
        <f t="shared" si="17"/>
        <v>103680.32817187498</v>
      </c>
      <c r="DR5" s="543"/>
      <c r="DS5" s="543"/>
      <c r="DT5" s="540">
        <v>393</v>
      </c>
      <c r="DU5" s="445">
        <v>39393</v>
      </c>
      <c r="DV5" s="580" t="s">
        <v>1419</v>
      </c>
      <c r="DW5" s="445">
        <v>39413</v>
      </c>
      <c r="DX5" s="866">
        <f aca="true" t="shared" si="45" ref="DX5:DX11">DN5</f>
        <v>296229.5090625</v>
      </c>
      <c r="DY5" s="543">
        <v>315816.43</v>
      </c>
      <c r="DZ5" s="409">
        <v>207529.56</v>
      </c>
      <c r="EA5" s="409">
        <f>DZ5-(DZ5*0.375)</f>
        <v>129705.975</v>
      </c>
      <c r="EB5" s="409">
        <f t="shared" si="18"/>
        <v>110250.07875</v>
      </c>
      <c r="EC5" s="409">
        <f t="shared" si="19"/>
        <v>19455.89625</v>
      </c>
      <c r="ED5" s="409">
        <f t="shared" si="20"/>
        <v>45397.09125</v>
      </c>
      <c r="EE5" s="472">
        <v>0</v>
      </c>
      <c r="EF5" s="472">
        <v>0</v>
      </c>
      <c r="EG5" s="540">
        <v>302</v>
      </c>
      <c r="EH5" s="445">
        <v>39661</v>
      </c>
      <c r="EI5" s="580" t="s">
        <v>355</v>
      </c>
      <c r="EJ5" s="441">
        <v>39693</v>
      </c>
      <c r="EK5" s="847">
        <f>+EA5</f>
        <v>129705.975</v>
      </c>
      <c r="EL5" s="543">
        <v>278260.78</v>
      </c>
      <c r="EM5" s="409">
        <f>+EL5*0.65</f>
        <v>180869.507</v>
      </c>
      <c r="EN5" s="409">
        <f>EM5-15632.09</f>
        <v>165237.41700000002</v>
      </c>
      <c r="EO5" s="409">
        <f>EN5*0.85+0.01</f>
        <v>140451.81445</v>
      </c>
      <c r="EP5" s="409">
        <f>EN5*0.15</f>
        <v>24785.61255</v>
      </c>
      <c r="EQ5" s="409">
        <f>EN5*0.35</f>
        <v>57833.09595</v>
      </c>
      <c r="ER5" s="543"/>
      <c r="ES5" s="543"/>
      <c r="ET5" s="539">
        <v>664</v>
      </c>
      <c r="EU5" s="416">
        <v>39797</v>
      </c>
      <c r="EV5" s="581" t="s">
        <v>235</v>
      </c>
      <c r="EW5" s="445">
        <v>39825</v>
      </c>
      <c r="EX5" s="870">
        <f>+EN5</f>
        <v>165237.41700000002</v>
      </c>
      <c r="EY5" s="543">
        <v>336319.47</v>
      </c>
      <c r="EZ5" s="409">
        <f>+EY5*0.65</f>
        <v>218607.6555</v>
      </c>
      <c r="FA5" s="409">
        <f>EZ5-585</f>
        <v>218022.6555</v>
      </c>
      <c r="FB5" s="409">
        <f>FA5*0.85</f>
        <v>185319.25717499998</v>
      </c>
      <c r="FC5" s="409">
        <f>FA5*0.15</f>
        <v>32703.398325</v>
      </c>
      <c r="FD5" s="409">
        <f>FA5*0.35</f>
        <v>76307.929425</v>
      </c>
      <c r="FE5" s="543"/>
      <c r="FF5" s="543"/>
      <c r="FG5" s="905">
        <v>436</v>
      </c>
      <c r="FH5" s="445">
        <v>39990</v>
      </c>
      <c r="FI5" s="707" t="s">
        <v>403</v>
      </c>
      <c r="FJ5" s="543"/>
      <c r="FK5" s="870">
        <f t="shared" si="37"/>
        <v>218022.6555</v>
      </c>
      <c r="FL5" s="543"/>
      <c r="FM5" s="409"/>
      <c r="FN5" s="409"/>
      <c r="FO5" s="409"/>
      <c r="FP5" s="409"/>
      <c r="FQ5" s="409"/>
      <c r="FR5" s="543"/>
      <c r="FS5" s="543"/>
      <c r="FT5" s="531"/>
      <c r="FU5" s="543"/>
      <c r="FV5" s="543"/>
      <c r="FW5" s="543"/>
      <c r="FX5" s="870"/>
      <c r="FY5" s="543"/>
      <c r="FZ5" s="543"/>
      <c r="GA5" s="543"/>
      <c r="GB5" s="543"/>
      <c r="GC5" s="543"/>
      <c r="GD5" s="543"/>
      <c r="GE5" s="543"/>
      <c r="GF5" s="543"/>
      <c r="GG5" s="543"/>
      <c r="GH5" s="543"/>
      <c r="GI5" s="543"/>
      <c r="GJ5" s="543"/>
      <c r="GK5" s="870"/>
      <c r="GL5" s="870"/>
      <c r="GM5" s="870"/>
      <c r="GN5" s="870"/>
      <c r="GO5" s="870"/>
      <c r="GP5" s="870"/>
      <c r="GQ5" s="870"/>
      <c r="GR5" s="870"/>
      <c r="GS5" s="870"/>
      <c r="GT5" s="870"/>
      <c r="GU5" s="870"/>
      <c r="GV5" s="870"/>
      <c r="GW5" s="870"/>
      <c r="GX5" s="870"/>
      <c r="GY5" s="899"/>
      <c r="GZ5" s="888">
        <f t="shared" si="38"/>
        <v>1597643.1279000002</v>
      </c>
      <c r="HA5" s="443">
        <f t="shared" si="39"/>
        <v>1050720.9210625</v>
      </c>
      <c r="HB5" s="568">
        <v>38330</v>
      </c>
      <c r="HC5" s="571">
        <f>36+6</f>
        <v>42</v>
      </c>
      <c r="HD5" s="733">
        <f aca="true" t="shared" si="46" ref="HD5:HD26">HC5/12</f>
        <v>3.5</v>
      </c>
      <c r="HE5" s="441">
        <f t="shared" si="40"/>
        <v>39607.5</v>
      </c>
      <c r="HF5" s="444">
        <f t="shared" si="41"/>
        <v>1597643.1279000002</v>
      </c>
      <c r="HG5" s="817">
        <v>2</v>
      </c>
      <c r="HH5" s="444">
        <f>HF5/HG5</f>
        <v>798821.5639500001</v>
      </c>
      <c r="HI5" s="444">
        <f>HH5*1.5</f>
        <v>1198232.345925</v>
      </c>
      <c r="HJ5" s="543">
        <f t="shared" si="21"/>
        <v>260717.7142857143</v>
      </c>
      <c r="HK5" s="543">
        <f t="shared" si="22"/>
        <v>260717.7142857143</v>
      </c>
      <c r="HL5" s="543">
        <f>(T5*0.5)/HD5</f>
        <v>260717.7142857143</v>
      </c>
      <c r="HM5" s="543">
        <f t="shared" si="42"/>
        <v>365004.80000000005</v>
      </c>
      <c r="HN5" s="543"/>
      <c r="HO5" s="974">
        <f t="shared" si="23"/>
        <v>2794231.9779999997</v>
      </c>
      <c r="HP5" s="974">
        <f t="shared" si="24"/>
        <v>1816250.7834</v>
      </c>
      <c r="HQ5" s="974">
        <f t="shared" si="25"/>
        <v>908125.3917</v>
      </c>
      <c r="HR5" s="974">
        <f t="shared" si="26"/>
        <v>635687.77419</v>
      </c>
      <c r="HS5" s="974">
        <f t="shared" si="27"/>
        <v>1543813.16589</v>
      </c>
      <c r="HT5" s="974">
        <f t="shared" si="28"/>
        <v>272437.61751</v>
      </c>
      <c r="HU5" s="974">
        <f t="shared" si="29"/>
        <v>977981.1945999996</v>
      </c>
    </row>
    <row r="6" spans="1:229" s="474" customFormat="1" ht="12" customHeight="1">
      <c r="A6" s="421">
        <v>4</v>
      </c>
      <c r="B6" s="406" t="e">
        <f>IF(#REF!&gt;0,"si","no")</f>
        <v>#REF!</v>
      </c>
      <c r="C6" s="407">
        <v>9</v>
      </c>
      <c r="D6" s="477" t="s">
        <v>864</v>
      </c>
      <c r="E6" s="477" t="s">
        <v>865</v>
      </c>
      <c r="F6" s="477" t="s">
        <v>480</v>
      </c>
      <c r="G6" s="477" t="s">
        <v>1450</v>
      </c>
      <c r="H6" s="820" t="s">
        <v>1185</v>
      </c>
      <c r="I6" s="526" t="s">
        <v>486</v>
      </c>
      <c r="J6" s="411">
        <v>1757072</v>
      </c>
      <c r="K6" s="410">
        <v>65</v>
      </c>
      <c r="L6" s="410" t="str">
        <f t="shared" si="0"/>
        <v>è</v>
      </c>
      <c r="M6" s="410" t="s">
        <v>793</v>
      </c>
      <c r="N6" s="409">
        <v>496720</v>
      </c>
      <c r="O6" s="409">
        <f t="shared" si="1"/>
        <v>1260352</v>
      </c>
      <c r="P6" s="409">
        <f t="shared" si="2"/>
        <v>252070.40000000002</v>
      </c>
      <c r="Q6" s="411">
        <f t="shared" si="3"/>
        <v>2009142.4</v>
      </c>
      <c r="R6" s="411">
        <f t="shared" si="4"/>
        <v>1142096.8</v>
      </c>
      <c r="S6" s="409">
        <f t="shared" si="5"/>
        <v>163845.76</v>
      </c>
      <c r="T6" s="411">
        <f t="shared" si="6"/>
        <v>1305942.56</v>
      </c>
      <c r="U6" s="411">
        <f t="shared" si="30"/>
        <v>652971.28</v>
      </c>
      <c r="V6" s="411">
        <f t="shared" si="31"/>
        <v>457079.896</v>
      </c>
      <c r="W6" s="409">
        <f t="shared" si="32"/>
        <v>1110051.176</v>
      </c>
      <c r="X6" s="411">
        <f t="shared" si="7"/>
        <v>195891.384</v>
      </c>
      <c r="Y6" s="411">
        <f t="shared" si="8"/>
        <v>614975.2</v>
      </c>
      <c r="Z6" s="411">
        <f t="shared" si="9"/>
        <v>703199.8399999999</v>
      </c>
      <c r="AA6" s="437" t="s">
        <v>866</v>
      </c>
      <c r="AB6" s="438" t="s">
        <v>795</v>
      </c>
      <c r="AC6" s="438" t="s">
        <v>867</v>
      </c>
      <c r="AD6" s="406" t="s">
        <v>797</v>
      </c>
      <c r="AE6" s="406" t="s">
        <v>798</v>
      </c>
      <c r="AF6" s="406" t="s">
        <v>1445</v>
      </c>
      <c r="AG6" s="406" t="s">
        <v>1446</v>
      </c>
      <c r="AH6" s="406">
        <v>70123</v>
      </c>
      <c r="AI6" s="439" t="s">
        <v>923</v>
      </c>
      <c r="AJ6" s="440" t="s">
        <v>868</v>
      </c>
      <c r="AK6" s="410">
        <v>63</v>
      </c>
      <c r="AL6" s="410">
        <v>255</v>
      </c>
      <c r="AM6" s="437" t="s">
        <v>77</v>
      </c>
      <c r="AN6" s="445">
        <v>38191</v>
      </c>
      <c r="AO6" s="406" t="s">
        <v>1012</v>
      </c>
      <c r="AP6" s="406">
        <v>1646</v>
      </c>
      <c r="AQ6" s="410">
        <v>9</v>
      </c>
      <c r="AR6" s="410">
        <v>8</v>
      </c>
      <c r="AS6" s="818" t="s">
        <v>166</v>
      </c>
      <c r="AT6" s="676" t="s">
        <v>166</v>
      </c>
      <c r="AU6" s="472" t="s">
        <v>295</v>
      </c>
      <c r="AV6" s="473">
        <v>38315</v>
      </c>
      <c r="AW6" s="473">
        <v>38286</v>
      </c>
      <c r="AX6" s="713">
        <v>38284</v>
      </c>
      <c r="AY6" s="474" t="s">
        <v>487</v>
      </c>
      <c r="AZ6" s="474" t="s">
        <v>488</v>
      </c>
      <c r="BA6" s="474" t="s">
        <v>797</v>
      </c>
      <c r="BB6" s="474" t="s">
        <v>864</v>
      </c>
      <c r="BC6" s="439" t="s">
        <v>489</v>
      </c>
      <c r="BD6" s="474" t="s">
        <v>490</v>
      </c>
      <c r="BE6" s="474" t="s">
        <v>1455</v>
      </c>
      <c r="BF6" s="440" t="s">
        <v>491</v>
      </c>
      <c r="BG6" s="473">
        <v>38307</v>
      </c>
      <c r="BH6" s="474" t="s">
        <v>492</v>
      </c>
      <c r="BI6" s="411">
        <f t="shared" si="33"/>
        <v>391782.768</v>
      </c>
      <c r="BJ6" s="411">
        <f t="shared" si="34"/>
        <v>333015.3528</v>
      </c>
      <c r="BK6" s="479" t="s">
        <v>1107</v>
      </c>
      <c r="BL6" s="411">
        <f t="shared" si="10"/>
        <v>58767.415199999996</v>
      </c>
      <c r="BM6" s="479" t="s">
        <v>1104</v>
      </c>
      <c r="BN6" s="411">
        <f t="shared" si="11"/>
        <v>137123.96879999997</v>
      </c>
      <c r="BO6" s="411"/>
      <c r="BP6" s="411"/>
      <c r="BQ6" s="540">
        <v>642</v>
      </c>
      <c r="BR6" s="445">
        <v>38320</v>
      </c>
      <c r="BS6" s="421" t="s">
        <v>154</v>
      </c>
      <c r="BT6" s="540">
        <v>5383</v>
      </c>
      <c r="BU6" s="837" t="s">
        <v>424</v>
      </c>
      <c r="BV6" s="473">
        <v>38336</v>
      </c>
      <c r="BW6" s="443">
        <f>333015.35+58767.42</f>
        <v>391782.76999999996</v>
      </c>
      <c r="BX6" s="877">
        <f>333015.35+58767.42</f>
        <v>391782.76999999996</v>
      </c>
      <c r="BY6" s="543">
        <v>242146.53</v>
      </c>
      <c r="BZ6" s="409">
        <f>(BY6*0.65)+0.01</f>
        <v>157395.2545</v>
      </c>
      <c r="CA6" s="409">
        <f>BZ6-(BZ6*0.375)</f>
        <v>98372.03406250001</v>
      </c>
      <c r="CB6" s="409">
        <f>CA6*0.85</f>
        <v>83616.22895312501</v>
      </c>
      <c r="CC6" s="409">
        <f>CA6*0.15-0.01</f>
        <v>14755.795109375</v>
      </c>
      <c r="CD6" s="409">
        <f t="shared" si="12"/>
        <v>34430.211921875</v>
      </c>
      <c r="CE6" s="409">
        <v>0</v>
      </c>
      <c r="CF6" s="409">
        <v>0</v>
      </c>
      <c r="CG6" s="540">
        <v>1704</v>
      </c>
      <c r="CH6" s="441">
        <v>38660</v>
      </c>
      <c r="CI6" s="741" t="s">
        <v>1320</v>
      </c>
      <c r="CJ6" s="445">
        <v>38709</v>
      </c>
      <c r="CK6" s="870">
        <f>83616.23+14755.8</f>
        <v>98372.03</v>
      </c>
      <c r="CL6" s="543">
        <v>311947.59</v>
      </c>
      <c r="CM6" s="409">
        <f>(CL6*0.65)</f>
        <v>202765.9335</v>
      </c>
      <c r="CN6" s="409">
        <f t="shared" si="13"/>
        <v>126728.70843750001</v>
      </c>
      <c r="CO6" s="409">
        <f t="shared" si="14"/>
        <v>107719.402171875</v>
      </c>
      <c r="CP6" s="409">
        <f>CN6*0.15</f>
        <v>19009.306265625</v>
      </c>
      <c r="CQ6" s="409">
        <f t="shared" si="15"/>
        <v>44355.047953125</v>
      </c>
      <c r="CR6" s="409">
        <v>0</v>
      </c>
      <c r="CS6" s="409">
        <v>0</v>
      </c>
      <c r="CT6" s="740" t="s">
        <v>1376</v>
      </c>
      <c r="CU6" s="445">
        <v>39027</v>
      </c>
      <c r="CV6" s="584" t="s">
        <v>1383</v>
      </c>
      <c r="CW6" s="445">
        <v>39042</v>
      </c>
      <c r="CX6" s="847">
        <f>CN6</f>
        <v>126728.70843750001</v>
      </c>
      <c r="CY6" s="543">
        <v>502162.07</v>
      </c>
      <c r="CZ6" s="409">
        <f>(CY6*0.65)</f>
        <v>326405.3455</v>
      </c>
      <c r="DA6" s="409">
        <f>CZ6-(CZ6*0.375)</f>
        <v>204003.3409375</v>
      </c>
      <c r="DB6" s="409">
        <f>DA6*0.85</f>
        <v>173402.839796875</v>
      </c>
      <c r="DC6" s="409">
        <f t="shared" si="35"/>
        <v>30600.501140624998</v>
      </c>
      <c r="DD6" s="409">
        <f t="shared" si="16"/>
        <v>71401.16932812499</v>
      </c>
      <c r="DE6" s="409">
        <v>0</v>
      </c>
      <c r="DF6" s="409">
        <v>0</v>
      </c>
      <c r="DG6" s="540">
        <v>392</v>
      </c>
      <c r="DH6" s="445">
        <v>39393</v>
      </c>
      <c r="DI6" s="580" t="s">
        <v>1420</v>
      </c>
      <c r="DJ6" s="445">
        <v>39413</v>
      </c>
      <c r="DK6" s="847">
        <f aca="true" t="shared" si="47" ref="DK6:DK11">DA6</f>
        <v>204003.3409375</v>
      </c>
      <c r="DL6" s="543">
        <v>310508.73</v>
      </c>
      <c r="DM6" s="409">
        <f>(DL6*0.65)</f>
        <v>201830.6745</v>
      </c>
      <c r="DN6" s="409">
        <f>DM6-(DM6*0.375)</f>
        <v>126144.17156249999</v>
      </c>
      <c r="DO6" s="409">
        <f t="shared" si="44"/>
        <v>107222.54582812499</v>
      </c>
      <c r="DP6" s="409">
        <f t="shared" si="36"/>
        <v>18921.625734374997</v>
      </c>
      <c r="DQ6" s="409">
        <f t="shared" si="17"/>
        <v>44150.46004687499</v>
      </c>
      <c r="DR6" s="707"/>
      <c r="DS6" s="543"/>
      <c r="DT6" s="540">
        <v>217</v>
      </c>
      <c r="DU6" s="445">
        <v>39608</v>
      </c>
      <c r="DV6" s="445" t="s">
        <v>729</v>
      </c>
      <c r="DW6" s="445">
        <v>39639</v>
      </c>
      <c r="DX6" s="866">
        <f t="shared" si="45"/>
        <v>126144.17156249999</v>
      </c>
      <c r="DY6" s="543">
        <v>160716.44</v>
      </c>
      <c r="DZ6" s="409">
        <f>(DY6*0.65)</f>
        <v>104465.686</v>
      </c>
      <c r="EA6" s="409">
        <f>DZ6-58633.82</f>
        <v>45831.866</v>
      </c>
      <c r="EB6" s="409">
        <f t="shared" si="18"/>
        <v>38957.0861</v>
      </c>
      <c r="EC6" s="409">
        <f t="shared" si="19"/>
        <v>6874.7799</v>
      </c>
      <c r="ED6" s="409">
        <f t="shared" si="20"/>
        <v>16041.1531</v>
      </c>
      <c r="EE6" s="543"/>
      <c r="EF6" s="543"/>
      <c r="EG6" s="540"/>
      <c r="EH6" s="445"/>
      <c r="EI6" s="580"/>
      <c r="EJ6" s="445"/>
      <c r="EK6" s="847"/>
      <c r="EL6" s="543"/>
      <c r="EM6" s="409"/>
      <c r="EN6" s="409"/>
      <c r="EO6" s="409"/>
      <c r="EP6" s="409"/>
      <c r="EQ6" s="409"/>
      <c r="ER6" s="543"/>
      <c r="ES6" s="543"/>
      <c r="ET6" s="540"/>
      <c r="EU6" s="445"/>
      <c r="EV6" s="580"/>
      <c r="EW6" s="445"/>
      <c r="EX6" s="870"/>
      <c r="EY6" s="543"/>
      <c r="EZ6" s="543"/>
      <c r="FA6" s="543"/>
      <c r="FB6" s="543"/>
      <c r="FC6" s="543"/>
      <c r="FD6" s="543"/>
      <c r="FE6" s="543"/>
      <c r="FF6" s="543"/>
      <c r="FG6" s="543"/>
      <c r="FH6" s="543"/>
      <c r="FI6" s="543"/>
      <c r="FJ6" s="543"/>
      <c r="FK6" s="870">
        <f t="shared" si="37"/>
        <v>0</v>
      </c>
      <c r="FL6" s="543"/>
      <c r="FM6" s="543"/>
      <c r="FN6" s="543"/>
      <c r="FO6" s="543"/>
      <c r="FP6" s="543"/>
      <c r="FQ6" s="543"/>
      <c r="FR6" s="543"/>
      <c r="FS6" s="543"/>
      <c r="FT6" s="543"/>
      <c r="FU6" s="543"/>
      <c r="FV6" s="543"/>
      <c r="FW6" s="543"/>
      <c r="FX6" s="870"/>
      <c r="FY6" s="543"/>
      <c r="FZ6" s="543"/>
      <c r="GA6" s="543"/>
      <c r="GB6" s="543"/>
      <c r="GC6" s="543"/>
      <c r="GD6" s="543"/>
      <c r="GE6" s="543"/>
      <c r="GF6" s="543"/>
      <c r="GG6" s="543"/>
      <c r="GH6" s="543"/>
      <c r="GI6" s="543"/>
      <c r="GJ6" s="543"/>
      <c r="GK6" s="870"/>
      <c r="GL6" s="870"/>
      <c r="GM6" s="870"/>
      <c r="GN6" s="870"/>
      <c r="GO6" s="870"/>
      <c r="GP6" s="870"/>
      <c r="GQ6" s="870"/>
      <c r="GR6" s="870"/>
      <c r="GS6" s="870"/>
      <c r="GT6" s="870"/>
      <c r="GU6" s="870"/>
      <c r="GV6" s="870"/>
      <c r="GW6" s="870"/>
      <c r="GX6" s="870"/>
      <c r="GY6" s="899"/>
      <c r="GZ6" s="888">
        <f t="shared" si="38"/>
        <v>992862.8940000001</v>
      </c>
      <c r="HA6" s="443">
        <f t="shared" si="39"/>
        <v>555248.2509375</v>
      </c>
      <c r="HB6" s="568">
        <v>38201</v>
      </c>
      <c r="HC6" s="571">
        <v>42</v>
      </c>
      <c r="HD6" s="733">
        <f t="shared" si="46"/>
        <v>3.5</v>
      </c>
      <c r="HE6" s="441">
        <f t="shared" si="40"/>
        <v>39478.5</v>
      </c>
      <c r="HF6" s="444">
        <f t="shared" si="41"/>
        <v>992862.8940000001</v>
      </c>
      <c r="HG6" s="817">
        <v>1</v>
      </c>
      <c r="HH6" s="444">
        <f>HF6/HG6</f>
        <v>992862.8940000001</v>
      </c>
      <c r="HI6" s="444">
        <f>HH6*1.5</f>
        <v>1489294.341</v>
      </c>
      <c r="HJ6" s="543">
        <f t="shared" si="21"/>
        <v>186563.22285714286</v>
      </c>
      <c r="HK6" s="543">
        <f t="shared" si="22"/>
        <v>186563.22285714286</v>
      </c>
      <c r="HL6" s="543">
        <f>(T6*0.2)</f>
        <v>261188.51200000002</v>
      </c>
      <c r="HN6" s="543"/>
      <c r="HO6" s="974">
        <f t="shared" si="23"/>
        <v>1527481.36</v>
      </c>
      <c r="HP6" s="974">
        <f t="shared" si="24"/>
        <v>992862.8940000001</v>
      </c>
      <c r="HQ6" s="974">
        <f t="shared" si="25"/>
        <v>496431.44700000004</v>
      </c>
      <c r="HR6" s="974">
        <f t="shared" si="26"/>
        <v>347502.01290000003</v>
      </c>
      <c r="HS6" s="974">
        <f t="shared" si="27"/>
        <v>843933.4599000001</v>
      </c>
      <c r="HT6" s="974">
        <f t="shared" si="28"/>
        <v>148929.4341</v>
      </c>
      <c r="HU6" s="974">
        <f t="shared" si="29"/>
        <v>534618.466</v>
      </c>
    </row>
    <row r="7" spans="1:229" s="474" customFormat="1" ht="12" customHeight="1">
      <c r="A7" s="421">
        <v>5</v>
      </c>
      <c r="B7" s="406" t="e">
        <f>IF(#REF!&gt;0,"si","no")</f>
        <v>#REF!</v>
      </c>
      <c r="C7" s="407">
        <v>10</v>
      </c>
      <c r="D7" s="477" t="s">
        <v>851</v>
      </c>
      <c r="E7" s="477" t="s">
        <v>852</v>
      </c>
      <c r="F7" s="477" t="s">
        <v>480</v>
      </c>
      <c r="G7" s="477" t="s">
        <v>438</v>
      </c>
      <c r="H7" s="820" t="s">
        <v>436</v>
      </c>
      <c r="I7" s="526" t="s">
        <v>1339</v>
      </c>
      <c r="J7" s="411">
        <v>719530</v>
      </c>
      <c r="K7" s="406">
        <v>65</v>
      </c>
      <c r="L7" s="410" t="str">
        <f t="shared" si="0"/>
        <v>è</v>
      </c>
      <c r="M7" s="410" t="s">
        <v>793</v>
      </c>
      <c r="N7" s="409">
        <v>0</v>
      </c>
      <c r="O7" s="409">
        <f t="shared" si="1"/>
        <v>719530</v>
      </c>
      <c r="P7" s="409">
        <f t="shared" si="2"/>
        <v>143906</v>
      </c>
      <c r="Q7" s="411">
        <f t="shared" si="3"/>
        <v>863436</v>
      </c>
      <c r="R7" s="411">
        <f t="shared" si="4"/>
        <v>467694.5</v>
      </c>
      <c r="S7" s="409">
        <f t="shared" si="5"/>
        <v>93538.9</v>
      </c>
      <c r="T7" s="411">
        <f t="shared" si="6"/>
        <v>561233.4</v>
      </c>
      <c r="U7" s="411">
        <f t="shared" si="30"/>
        <v>280616.7</v>
      </c>
      <c r="V7" s="411">
        <f t="shared" si="31"/>
        <v>196431.69</v>
      </c>
      <c r="W7" s="409">
        <f t="shared" si="32"/>
        <v>477048.39</v>
      </c>
      <c r="X7" s="411">
        <f t="shared" si="7"/>
        <v>84185.01</v>
      </c>
      <c r="Y7" s="411">
        <f t="shared" si="8"/>
        <v>251835.5</v>
      </c>
      <c r="Z7" s="411">
        <f t="shared" si="9"/>
        <v>302202.6</v>
      </c>
      <c r="AA7" s="437" t="s">
        <v>794</v>
      </c>
      <c r="AB7" s="438" t="s">
        <v>795</v>
      </c>
      <c r="AC7" s="437" t="s">
        <v>853</v>
      </c>
      <c r="AD7" s="406" t="s">
        <v>797</v>
      </c>
      <c r="AE7" s="406" t="s">
        <v>798</v>
      </c>
      <c r="AF7" s="406" t="s">
        <v>1310</v>
      </c>
      <c r="AG7" s="736">
        <v>253</v>
      </c>
      <c r="AH7" s="406">
        <v>70123</v>
      </c>
      <c r="AI7" s="406">
        <v>93007140721</v>
      </c>
      <c r="AJ7" s="690" t="s">
        <v>0</v>
      </c>
      <c r="AK7" s="406">
        <v>67</v>
      </c>
      <c r="AL7" s="406">
        <v>254</v>
      </c>
      <c r="AM7" s="445">
        <v>38166</v>
      </c>
      <c r="AN7" s="445">
        <v>38191</v>
      </c>
      <c r="AO7" s="406" t="s">
        <v>1045</v>
      </c>
      <c r="AP7" s="406">
        <v>1656</v>
      </c>
      <c r="AQ7" s="406">
        <v>28</v>
      </c>
      <c r="AR7" s="406">
        <v>23</v>
      </c>
      <c r="AS7" s="737" t="s">
        <v>415</v>
      </c>
      <c r="AT7" s="737" t="s">
        <v>415</v>
      </c>
      <c r="AU7" s="472" t="s">
        <v>295</v>
      </c>
      <c r="AV7" s="473">
        <v>38316</v>
      </c>
      <c r="AW7" s="473">
        <v>38294</v>
      </c>
      <c r="AX7" s="713">
        <v>38316</v>
      </c>
      <c r="AY7" s="474" t="s">
        <v>1118</v>
      </c>
      <c r="AZ7" s="474" t="s">
        <v>1119</v>
      </c>
      <c r="BA7" s="474" t="s">
        <v>797</v>
      </c>
      <c r="BB7" s="474" t="s">
        <v>1120</v>
      </c>
      <c r="BC7" s="421" t="s">
        <v>1121</v>
      </c>
      <c r="BD7" s="474" t="s">
        <v>1122</v>
      </c>
      <c r="BF7" s="675" t="s">
        <v>1123</v>
      </c>
      <c r="BG7" s="473">
        <v>38315</v>
      </c>
      <c r="BH7" s="474" t="s">
        <v>1124</v>
      </c>
      <c r="BI7" s="411">
        <f t="shared" si="33"/>
        <v>168370.02</v>
      </c>
      <c r="BJ7" s="411">
        <f t="shared" si="34"/>
        <v>143114.517</v>
      </c>
      <c r="BK7" s="479" t="s">
        <v>1104</v>
      </c>
      <c r="BL7" s="411">
        <f t="shared" si="10"/>
        <v>25255.502999999997</v>
      </c>
      <c r="BM7" s="479" t="s">
        <v>1104</v>
      </c>
      <c r="BN7" s="411">
        <f t="shared" si="11"/>
        <v>58929.50699999999</v>
      </c>
      <c r="BO7" s="411"/>
      <c r="BP7" s="411"/>
      <c r="BQ7" s="540">
        <v>662</v>
      </c>
      <c r="BR7" s="445">
        <v>38324</v>
      </c>
      <c r="BS7" s="421" t="s">
        <v>154</v>
      </c>
      <c r="BT7" s="540">
        <v>5445</v>
      </c>
      <c r="BU7" s="741" t="s">
        <v>346</v>
      </c>
      <c r="BV7" s="445">
        <v>38338</v>
      </c>
      <c r="BW7" s="443">
        <f>143114.52+25255.5</f>
        <v>168370.02</v>
      </c>
      <c r="BX7" s="877">
        <f>143114.52+25255.5</f>
        <v>168370.02</v>
      </c>
      <c r="BY7" s="543">
        <v>50688.89</v>
      </c>
      <c r="BZ7" s="409">
        <f>(BY7*0.65)</f>
        <v>32947.7785</v>
      </c>
      <c r="CA7" s="409">
        <f>BZ7-(BZ7*0.375)</f>
        <v>20592.361562500002</v>
      </c>
      <c r="CB7" s="409">
        <f>CA7*0.85</f>
        <v>17503.507328125</v>
      </c>
      <c r="CC7" s="409">
        <f>CA7*0.15</f>
        <v>3088.854234375</v>
      </c>
      <c r="CD7" s="409">
        <f t="shared" si="12"/>
        <v>7207.3265468750005</v>
      </c>
      <c r="CE7" s="409">
        <v>0</v>
      </c>
      <c r="CF7" s="409">
        <v>0</v>
      </c>
      <c r="CG7" s="540">
        <v>1625</v>
      </c>
      <c r="CH7" s="445">
        <v>38630</v>
      </c>
      <c r="CI7" s="584" t="s">
        <v>14</v>
      </c>
      <c r="CJ7" s="445">
        <v>38649</v>
      </c>
      <c r="CK7" s="870">
        <f>17503.51+3088.85</f>
        <v>20592.359999999997</v>
      </c>
      <c r="CL7" s="543">
        <v>167369.61</v>
      </c>
      <c r="CM7" s="409">
        <f>(CL7*0.65)</f>
        <v>108790.2465</v>
      </c>
      <c r="CN7" s="409">
        <f t="shared" si="13"/>
        <v>67993.90406249999</v>
      </c>
      <c r="CO7" s="409">
        <f t="shared" si="14"/>
        <v>57794.81845312499</v>
      </c>
      <c r="CP7" s="409">
        <f>CN7*0.15-0.01</f>
        <v>10199.075609374999</v>
      </c>
      <c r="CQ7" s="409">
        <f t="shared" si="15"/>
        <v>23797.866421874995</v>
      </c>
      <c r="CR7" s="409"/>
      <c r="CS7" s="409"/>
      <c r="CT7" s="540">
        <v>1867</v>
      </c>
      <c r="CU7" s="445">
        <v>38679</v>
      </c>
      <c r="CV7" s="580" t="s">
        <v>19</v>
      </c>
      <c r="CW7" s="445">
        <v>38698</v>
      </c>
      <c r="CX7" s="847">
        <f>57794.82+10199.08</f>
        <v>67993.9</v>
      </c>
      <c r="CY7" s="543">
        <v>103506.74</v>
      </c>
      <c r="CZ7" s="409">
        <f>(CY7*0.65)</f>
        <v>67279.38100000001</v>
      </c>
      <c r="DA7" s="409">
        <f>CZ7-(CZ7*0.375)</f>
        <v>42049.613125</v>
      </c>
      <c r="DB7" s="409">
        <f>DA7*0.85</f>
        <v>35742.17115625</v>
      </c>
      <c r="DC7" s="409">
        <f t="shared" si="35"/>
        <v>6307.44196875</v>
      </c>
      <c r="DD7" s="409">
        <f t="shared" si="16"/>
        <v>14717.36459375</v>
      </c>
      <c r="DE7" s="409">
        <v>0</v>
      </c>
      <c r="DF7" s="409">
        <v>0</v>
      </c>
      <c r="DG7" s="540">
        <v>276</v>
      </c>
      <c r="DH7" s="445">
        <v>39044</v>
      </c>
      <c r="DI7" s="579" t="s">
        <v>414</v>
      </c>
      <c r="DJ7" s="445">
        <v>39072</v>
      </c>
      <c r="DK7" s="847">
        <f>35742.17+6307.44</f>
        <v>42049.61</v>
      </c>
      <c r="DL7" s="543">
        <v>99506.52</v>
      </c>
      <c r="DM7" s="409">
        <f>(DL7*0.65)</f>
        <v>64679.238000000005</v>
      </c>
      <c r="DN7" s="409">
        <f>DM7-(DM7*0.375)+0.01</f>
        <v>40424.53375000001</v>
      </c>
      <c r="DO7" s="409">
        <f t="shared" si="44"/>
        <v>34360.853687500006</v>
      </c>
      <c r="DP7" s="409">
        <f t="shared" si="36"/>
        <v>6063.680062500001</v>
      </c>
      <c r="DQ7" s="409">
        <f t="shared" si="17"/>
        <v>14148.586812500003</v>
      </c>
      <c r="DR7" s="543"/>
      <c r="DS7" s="543"/>
      <c r="DT7" s="540">
        <v>471</v>
      </c>
      <c r="DU7" s="445">
        <v>39422</v>
      </c>
      <c r="DV7" s="965" t="s">
        <v>1431</v>
      </c>
      <c r="DW7" s="445">
        <v>39433</v>
      </c>
      <c r="DX7" s="866">
        <f t="shared" si="45"/>
        <v>40424.53375000001</v>
      </c>
      <c r="DY7" s="543">
        <v>242738.65</v>
      </c>
      <c r="DZ7" s="409">
        <f>(DY7*0.65)</f>
        <v>157780.1225</v>
      </c>
      <c r="EA7" s="409">
        <f>DZ7-65733.77</f>
        <v>92046.3525</v>
      </c>
      <c r="EB7" s="409">
        <f t="shared" si="18"/>
        <v>78239.39962499999</v>
      </c>
      <c r="EC7" s="409">
        <f t="shared" si="19"/>
        <v>13806.952874999999</v>
      </c>
      <c r="ED7" s="409">
        <f t="shared" si="20"/>
        <v>32216.223374999994</v>
      </c>
      <c r="EE7" s="543"/>
      <c r="EF7" s="707"/>
      <c r="EG7" s="540">
        <v>168</v>
      </c>
      <c r="EH7" s="445">
        <v>39898</v>
      </c>
      <c r="EI7" s="1170" t="s">
        <v>242</v>
      </c>
      <c r="EJ7" s="445">
        <v>39924</v>
      </c>
      <c r="EK7" s="847"/>
      <c r="EL7" s="543"/>
      <c r="EM7" s="543"/>
      <c r="EN7" s="543"/>
      <c r="EO7" s="543"/>
      <c r="EP7" s="543"/>
      <c r="EQ7" s="543"/>
      <c r="ER7" s="543"/>
      <c r="ES7" s="543"/>
      <c r="ET7" s="540"/>
      <c r="EU7" s="445"/>
      <c r="EV7" s="580"/>
      <c r="EW7" s="445"/>
      <c r="EX7" s="870"/>
      <c r="EY7" s="543"/>
      <c r="EZ7" s="543"/>
      <c r="FA7" s="543"/>
      <c r="FB7" s="543"/>
      <c r="FC7" s="543"/>
      <c r="FD7" s="543"/>
      <c r="FE7" s="543"/>
      <c r="FF7" s="543"/>
      <c r="FG7" s="543"/>
      <c r="FH7" s="543"/>
      <c r="FI7" s="543"/>
      <c r="FJ7" s="543"/>
      <c r="FK7" s="870">
        <f t="shared" si="37"/>
        <v>0</v>
      </c>
      <c r="FL7" s="543"/>
      <c r="FM7" s="543"/>
      <c r="FN7" s="543"/>
      <c r="FO7" s="543"/>
      <c r="FP7" s="543"/>
      <c r="FQ7" s="543"/>
      <c r="FR7" s="543"/>
      <c r="FS7" s="543"/>
      <c r="FT7" s="543"/>
      <c r="FU7" s="543"/>
      <c r="FV7" s="543"/>
      <c r="FW7" s="543"/>
      <c r="FX7" s="870"/>
      <c r="FY7" s="543"/>
      <c r="FZ7" s="543"/>
      <c r="GA7" s="543"/>
      <c r="GB7" s="543"/>
      <c r="GC7" s="543"/>
      <c r="GD7" s="543"/>
      <c r="GE7" s="543"/>
      <c r="GF7" s="543"/>
      <c r="GG7" s="543"/>
      <c r="GH7" s="543"/>
      <c r="GI7" s="543"/>
      <c r="GJ7" s="543"/>
      <c r="GK7" s="870"/>
      <c r="GL7" s="870"/>
      <c r="GM7" s="870"/>
      <c r="GN7" s="870"/>
      <c r="GO7" s="870"/>
      <c r="GP7" s="870"/>
      <c r="GQ7" s="870"/>
      <c r="GR7" s="870"/>
      <c r="GS7" s="870"/>
      <c r="GT7" s="870"/>
      <c r="GU7" s="870"/>
      <c r="GV7" s="870"/>
      <c r="GW7" s="870"/>
      <c r="GX7" s="870"/>
      <c r="GY7" s="899"/>
      <c r="GZ7" s="888">
        <f t="shared" si="38"/>
        <v>431476.7665</v>
      </c>
      <c r="HA7" s="443">
        <f t="shared" si="39"/>
        <v>171060.40375</v>
      </c>
      <c r="HB7" s="568">
        <v>38231</v>
      </c>
      <c r="HC7" s="571">
        <f>30+6+9</f>
        <v>45</v>
      </c>
      <c r="HD7" s="733">
        <f t="shared" si="46"/>
        <v>3.75</v>
      </c>
      <c r="HE7" s="441">
        <f t="shared" si="40"/>
        <v>39599.75</v>
      </c>
      <c r="HF7" s="444">
        <f t="shared" si="41"/>
        <v>431476.7665</v>
      </c>
      <c r="HG7" s="817">
        <v>2</v>
      </c>
      <c r="HH7" s="444">
        <f aca="true" t="shared" si="48" ref="HH7:HH26">HF7/HG7</f>
        <v>215738.38325</v>
      </c>
      <c r="HI7" s="444">
        <f aca="true" t="shared" si="49" ref="HI7:HI26">HH7*1.5</f>
        <v>323607.57487500005</v>
      </c>
      <c r="HJ7" s="543">
        <f t="shared" si="21"/>
        <v>74831.12000000001</v>
      </c>
      <c r="HK7" s="543">
        <f t="shared" si="22"/>
        <v>74831.12000000001</v>
      </c>
      <c r="HL7" s="543">
        <f>(T7*0.5)/HD7</f>
        <v>74831.12000000001</v>
      </c>
      <c r="HM7" s="543">
        <f t="shared" si="42"/>
        <v>112246.68000000001</v>
      </c>
      <c r="HN7" s="543"/>
      <c r="HO7" s="974">
        <f t="shared" si="23"/>
        <v>663810.41</v>
      </c>
      <c r="HP7" s="974">
        <f t="shared" si="24"/>
        <v>431476.7665</v>
      </c>
      <c r="HQ7" s="974">
        <f t="shared" si="25"/>
        <v>215738.38325</v>
      </c>
      <c r="HR7" s="974">
        <f t="shared" si="26"/>
        <v>151016.868275</v>
      </c>
      <c r="HS7" s="974">
        <f t="shared" si="27"/>
        <v>366755.25152499997</v>
      </c>
      <c r="HT7" s="974">
        <f t="shared" si="28"/>
        <v>64721.514975</v>
      </c>
      <c r="HU7" s="974">
        <f t="shared" si="29"/>
        <v>232333.6435</v>
      </c>
    </row>
    <row r="8" spans="1:229" s="1056" customFormat="1" ht="12" customHeight="1">
      <c r="A8" s="1039">
        <v>6</v>
      </c>
      <c r="B8" s="1040" t="s">
        <v>177</v>
      </c>
      <c r="C8" s="1041">
        <v>12</v>
      </c>
      <c r="D8" s="1042" t="s">
        <v>907</v>
      </c>
      <c r="E8" s="1043" t="s">
        <v>908</v>
      </c>
      <c r="F8" s="1042" t="s">
        <v>480</v>
      </c>
      <c r="G8" s="1042" t="s">
        <v>358</v>
      </c>
      <c r="H8" s="1044" t="s">
        <v>409</v>
      </c>
      <c r="I8" s="1045" t="s">
        <v>1400</v>
      </c>
      <c r="J8" s="973">
        <v>264052.5</v>
      </c>
      <c r="K8" s="1046">
        <v>50</v>
      </c>
      <c r="L8" s="1046" t="str">
        <f t="shared" si="0"/>
        <v>non è</v>
      </c>
      <c r="M8" s="1046" t="s">
        <v>809</v>
      </c>
      <c r="N8" s="973">
        <v>57595</v>
      </c>
      <c r="O8" s="973">
        <f t="shared" si="1"/>
        <v>206457.5</v>
      </c>
      <c r="P8" s="973">
        <f t="shared" si="2"/>
        <v>41291.5</v>
      </c>
      <c r="Q8" s="973">
        <f t="shared" si="3"/>
        <v>305344</v>
      </c>
      <c r="R8" s="973">
        <f t="shared" si="4"/>
        <v>132026.25</v>
      </c>
      <c r="S8" s="973">
        <f t="shared" si="5"/>
        <v>20645.75</v>
      </c>
      <c r="T8" s="973">
        <f t="shared" si="6"/>
        <v>152672</v>
      </c>
      <c r="U8" s="973">
        <f t="shared" si="30"/>
        <v>76336</v>
      </c>
      <c r="V8" s="973">
        <f t="shared" si="31"/>
        <v>53435.2</v>
      </c>
      <c r="W8" s="973">
        <f t="shared" si="32"/>
        <v>129771.2</v>
      </c>
      <c r="X8" s="973">
        <f t="shared" si="7"/>
        <v>22900.8</v>
      </c>
      <c r="Y8" s="973">
        <f t="shared" si="8"/>
        <v>132026.25</v>
      </c>
      <c r="Z8" s="973">
        <f t="shared" si="9"/>
        <v>152672</v>
      </c>
      <c r="AA8" s="1047" t="s">
        <v>866</v>
      </c>
      <c r="AB8" s="1048" t="s">
        <v>895</v>
      </c>
      <c r="AC8" s="1049" t="s">
        <v>909</v>
      </c>
      <c r="AD8" s="1039" t="s">
        <v>845</v>
      </c>
      <c r="AE8" s="1039" t="s">
        <v>798</v>
      </c>
      <c r="AF8" s="1039" t="s">
        <v>1158</v>
      </c>
      <c r="AG8" s="1039">
        <v>50</v>
      </c>
      <c r="AH8" s="1039">
        <v>70022</v>
      </c>
      <c r="AI8" s="1049" t="s">
        <v>910</v>
      </c>
      <c r="AJ8" s="1050" t="s">
        <v>70</v>
      </c>
      <c r="AK8" s="1046">
        <v>51</v>
      </c>
      <c r="AL8" s="1046">
        <v>332</v>
      </c>
      <c r="AM8" s="1051">
        <v>38205</v>
      </c>
      <c r="AN8" s="1052">
        <v>38246</v>
      </c>
      <c r="AO8" s="1040" t="s">
        <v>175</v>
      </c>
      <c r="AP8" s="1040">
        <v>1802</v>
      </c>
      <c r="AQ8" s="1046">
        <v>38</v>
      </c>
      <c r="AR8" s="1046">
        <v>33</v>
      </c>
      <c r="AS8" s="1053" t="s">
        <v>1333</v>
      </c>
      <c r="AT8" s="1053" t="s">
        <v>1333</v>
      </c>
      <c r="AU8" s="1054" t="s">
        <v>295</v>
      </c>
      <c r="AV8" s="1055">
        <v>38335</v>
      </c>
      <c r="AW8" s="1055">
        <v>38310</v>
      </c>
      <c r="AX8" s="1051">
        <v>38336</v>
      </c>
      <c r="AY8" s="1056" t="s">
        <v>1159</v>
      </c>
      <c r="AZ8" s="1056" t="s">
        <v>1160</v>
      </c>
      <c r="BA8" s="1056" t="s">
        <v>1136</v>
      </c>
      <c r="BB8" s="1056" t="s">
        <v>1161</v>
      </c>
      <c r="BC8" s="1049" t="s">
        <v>1162</v>
      </c>
      <c r="BD8" s="1056" t="s">
        <v>1163</v>
      </c>
      <c r="BF8" s="1057" t="s">
        <v>1165</v>
      </c>
      <c r="BG8" s="1055">
        <v>38336</v>
      </c>
      <c r="BH8" s="1056" t="s">
        <v>1164</v>
      </c>
      <c r="BI8" s="973">
        <f t="shared" si="33"/>
        <v>45801.6</v>
      </c>
      <c r="BJ8" s="973">
        <f t="shared" si="34"/>
        <v>38931.36</v>
      </c>
      <c r="BK8" s="1058" t="s">
        <v>1104</v>
      </c>
      <c r="BL8" s="973">
        <f t="shared" si="10"/>
        <v>6870.24</v>
      </c>
      <c r="BM8" s="1058" t="s">
        <v>1104</v>
      </c>
      <c r="BN8" s="973">
        <f t="shared" si="11"/>
        <v>16030.559999999998</v>
      </c>
      <c r="BO8" s="973"/>
      <c r="BP8" s="973"/>
      <c r="BQ8" s="1059">
        <v>681</v>
      </c>
      <c r="BR8" s="1051">
        <v>38337</v>
      </c>
      <c r="BS8" s="1039" t="s">
        <v>154</v>
      </c>
      <c r="BT8" s="1059">
        <v>5652</v>
      </c>
      <c r="BU8" s="1060" t="s">
        <v>1170</v>
      </c>
      <c r="BV8" s="1051">
        <v>38342</v>
      </c>
      <c r="BW8" s="1061">
        <f>38931.36+6870.24</f>
        <v>45801.6</v>
      </c>
      <c r="BX8" s="972">
        <f>38931.36+6870.24</f>
        <v>45801.6</v>
      </c>
      <c r="BY8" s="1062">
        <v>63153.72</v>
      </c>
      <c r="BZ8" s="973">
        <f>(BY8*0.5)</f>
        <v>31576.86</v>
      </c>
      <c r="CA8" s="973">
        <f>BZ8-(BZ8*0.375)+0.01</f>
        <v>19735.547499999997</v>
      </c>
      <c r="CB8" s="973">
        <f aca="true" t="shared" si="50" ref="CB8:CB16">CA8*0.85</f>
        <v>16775.215374999996</v>
      </c>
      <c r="CC8" s="973">
        <f>CA8*0.15</f>
        <v>2960.3321249999995</v>
      </c>
      <c r="CD8" s="973">
        <f t="shared" si="12"/>
        <v>6907.441624999999</v>
      </c>
      <c r="CE8" s="973">
        <v>0</v>
      </c>
      <c r="CF8" s="973">
        <v>0</v>
      </c>
      <c r="CG8" s="1059">
        <v>784</v>
      </c>
      <c r="CH8" s="1051">
        <v>38923</v>
      </c>
      <c r="CI8" s="1060" t="s">
        <v>1350</v>
      </c>
      <c r="CJ8" s="1051">
        <v>38972</v>
      </c>
      <c r="CK8" s="1062">
        <f>16775.22+2960.33</f>
        <v>19735.550000000003</v>
      </c>
      <c r="CL8" s="1062">
        <v>69342.65</v>
      </c>
      <c r="CM8" s="973">
        <f>(CL8*0.5)</f>
        <v>34671.325</v>
      </c>
      <c r="CN8" s="973">
        <f t="shared" si="13"/>
        <v>21669.578125</v>
      </c>
      <c r="CO8" s="973">
        <f t="shared" si="14"/>
        <v>18419.14140625</v>
      </c>
      <c r="CP8" s="973">
        <f aca="true" t="shared" si="51" ref="CP8:CP14">CN8*0.15</f>
        <v>3250.4367187499997</v>
      </c>
      <c r="CQ8" s="973">
        <f t="shared" si="15"/>
        <v>7584.35234375</v>
      </c>
      <c r="CR8" s="1062"/>
      <c r="CS8" s="1062"/>
      <c r="CT8" s="1059">
        <v>161</v>
      </c>
      <c r="CU8" s="1051">
        <v>39234</v>
      </c>
      <c r="CV8" s="1063" t="s">
        <v>1406</v>
      </c>
      <c r="CW8" s="1051">
        <v>39262</v>
      </c>
      <c r="CX8" s="1062">
        <f>CN8</f>
        <v>21669.578125</v>
      </c>
      <c r="CY8" s="1062">
        <v>87890.625</v>
      </c>
      <c r="CZ8" s="973">
        <f>(CY8*0.5)</f>
        <v>43945.3125</v>
      </c>
      <c r="DA8" s="973">
        <f>CZ8-20958.53</f>
        <v>22986.7825</v>
      </c>
      <c r="DB8" s="973">
        <f>DA8*0.85-0.01</f>
        <v>19538.755125000003</v>
      </c>
      <c r="DC8" s="973">
        <f t="shared" si="35"/>
        <v>3448.017375</v>
      </c>
      <c r="DD8" s="973">
        <f t="shared" si="16"/>
        <v>8045.373875</v>
      </c>
      <c r="DE8" s="1062"/>
      <c r="DF8" s="1062"/>
      <c r="DG8" s="1059">
        <v>483</v>
      </c>
      <c r="DH8" s="1051">
        <v>39751</v>
      </c>
      <c r="DI8" s="1124" t="s">
        <v>230</v>
      </c>
      <c r="DJ8" s="1051">
        <v>39765</v>
      </c>
      <c r="DK8" s="1062">
        <f t="shared" si="47"/>
        <v>22986.7825</v>
      </c>
      <c r="DL8" s="1062">
        <v>10086</v>
      </c>
      <c r="DM8" s="973">
        <f>(DL8*0.5)</f>
        <v>5043</v>
      </c>
      <c r="DN8" s="973">
        <f>DM8</f>
        <v>5043</v>
      </c>
      <c r="DO8" s="973">
        <f t="shared" si="44"/>
        <v>4286.55</v>
      </c>
      <c r="DP8" s="973">
        <f t="shared" si="36"/>
        <v>756.4499999999999</v>
      </c>
      <c r="DQ8" s="973">
        <f t="shared" si="17"/>
        <v>1765.05</v>
      </c>
      <c r="DR8" s="1062"/>
      <c r="DS8" s="1062"/>
      <c r="DT8" s="1059"/>
      <c r="DU8" s="1051"/>
      <c r="DV8" s="1064"/>
      <c r="DW8" s="1051"/>
      <c r="DX8" s="1065">
        <f t="shared" si="45"/>
        <v>5043</v>
      </c>
      <c r="DY8" s="1062"/>
      <c r="DZ8" s="973"/>
      <c r="EA8" s="973"/>
      <c r="EB8" s="973"/>
      <c r="EC8" s="973"/>
      <c r="ED8" s="973"/>
      <c r="EE8" s="1062"/>
      <c r="EF8" s="1062"/>
      <c r="EG8" s="1059"/>
      <c r="EH8" s="1051"/>
      <c r="EI8" s="1064"/>
      <c r="EJ8" s="1051"/>
      <c r="EK8" s="1062"/>
      <c r="EL8" s="1062"/>
      <c r="EM8" s="1062"/>
      <c r="EN8" s="1062"/>
      <c r="EO8" s="1062"/>
      <c r="EP8" s="1062"/>
      <c r="EQ8" s="1062"/>
      <c r="ER8" s="1062"/>
      <c r="ES8" s="1062"/>
      <c r="ET8" s="1059"/>
      <c r="EU8" s="1051"/>
      <c r="EV8" s="1064"/>
      <c r="EW8" s="1051"/>
      <c r="EX8" s="1062"/>
      <c r="EY8" s="1062"/>
      <c r="EZ8" s="1062"/>
      <c r="FA8" s="1062"/>
      <c r="FB8" s="1062"/>
      <c r="FC8" s="1062"/>
      <c r="FD8" s="1062"/>
      <c r="FE8" s="1062"/>
      <c r="FF8" s="1062"/>
      <c r="FG8" s="1062"/>
      <c r="FH8" s="1062"/>
      <c r="FI8" s="1062"/>
      <c r="FJ8" s="1062"/>
      <c r="FK8" s="1062">
        <f t="shared" si="37"/>
        <v>0</v>
      </c>
      <c r="FL8" s="1062"/>
      <c r="FM8" s="1062"/>
      <c r="FN8" s="1062"/>
      <c r="FO8" s="1062"/>
      <c r="FP8" s="1062"/>
      <c r="FQ8" s="1062"/>
      <c r="FR8" s="1062"/>
      <c r="FS8" s="1062"/>
      <c r="FT8" s="1062"/>
      <c r="FU8" s="1062"/>
      <c r="FV8" s="1062"/>
      <c r="FW8" s="1062"/>
      <c r="FX8" s="1062"/>
      <c r="FY8" s="1062"/>
      <c r="FZ8" s="1062"/>
      <c r="GA8" s="1062"/>
      <c r="GB8" s="1062"/>
      <c r="GC8" s="1062"/>
      <c r="GD8" s="1062"/>
      <c r="GE8" s="1062"/>
      <c r="GF8" s="1062"/>
      <c r="GG8" s="1062"/>
      <c r="GH8" s="1062"/>
      <c r="GI8" s="1062"/>
      <c r="GJ8" s="1062"/>
      <c r="GK8" s="1062"/>
      <c r="GL8" s="1062"/>
      <c r="GM8" s="1062"/>
      <c r="GN8" s="1062"/>
      <c r="GO8" s="1062"/>
      <c r="GP8" s="1062"/>
      <c r="GQ8" s="1062"/>
      <c r="GR8" s="1062"/>
      <c r="GS8" s="1062"/>
      <c r="GT8" s="1062"/>
      <c r="GU8" s="1062"/>
      <c r="GV8" s="1062"/>
      <c r="GW8" s="1062"/>
      <c r="GX8" s="1062"/>
      <c r="GY8" s="899"/>
      <c r="GZ8" s="972">
        <f t="shared" si="38"/>
        <v>115236.4975</v>
      </c>
      <c r="HA8" s="1061">
        <f t="shared" si="39"/>
        <v>69434.910625</v>
      </c>
      <c r="HB8" s="1066">
        <v>38293</v>
      </c>
      <c r="HC8" s="1059">
        <f>30+6</f>
        <v>36</v>
      </c>
      <c r="HD8" s="1067">
        <f t="shared" si="46"/>
        <v>3</v>
      </c>
      <c r="HE8" s="1052">
        <f t="shared" si="40"/>
        <v>39388</v>
      </c>
      <c r="HF8" s="1061">
        <f t="shared" si="41"/>
        <v>115236.4975</v>
      </c>
      <c r="HG8" s="1068">
        <v>1</v>
      </c>
      <c r="HH8" s="1061">
        <f t="shared" si="48"/>
        <v>115236.4975</v>
      </c>
      <c r="HI8" s="1061">
        <f t="shared" si="49"/>
        <v>172854.74625</v>
      </c>
      <c r="HJ8" s="1062">
        <f t="shared" si="21"/>
        <v>25445.333333333332</v>
      </c>
      <c r="HK8" s="1062">
        <f t="shared" si="22"/>
        <v>25445.333333333332</v>
      </c>
      <c r="HL8" s="1062">
        <f>(T8*0.2)</f>
        <v>30534.4</v>
      </c>
      <c r="HN8" s="1062"/>
      <c r="HO8" s="1069">
        <f t="shared" si="23"/>
        <v>230472.995</v>
      </c>
      <c r="HP8" s="1069">
        <f t="shared" si="24"/>
        <v>115236.4975</v>
      </c>
      <c r="HQ8" s="1069">
        <f t="shared" si="25"/>
        <v>57618.24875</v>
      </c>
      <c r="HR8" s="1069">
        <f t="shared" si="26"/>
        <v>40332.774124999996</v>
      </c>
      <c r="HS8" s="1069">
        <f t="shared" si="27"/>
        <v>97951.022875</v>
      </c>
      <c r="HT8" s="1069">
        <f t="shared" si="28"/>
        <v>17285.474625</v>
      </c>
      <c r="HU8" s="1069">
        <f t="shared" si="29"/>
        <v>115236.4975</v>
      </c>
    </row>
    <row r="9" spans="1:229" s="474" customFormat="1" ht="12" customHeight="1">
      <c r="A9" s="738">
        <v>7</v>
      </c>
      <c r="B9" s="406" t="e">
        <f>IF(#REF!&gt;0,"si","no")</f>
        <v>#REF!</v>
      </c>
      <c r="C9" s="739">
        <v>14</v>
      </c>
      <c r="D9" s="477" t="s">
        <v>869</v>
      </c>
      <c r="E9" s="477" t="s">
        <v>483</v>
      </c>
      <c r="F9" s="477" t="s">
        <v>480</v>
      </c>
      <c r="G9" s="477" t="s">
        <v>1449</v>
      </c>
      <c r="H9" s="820" t="s">
        <v>1177</v>
      </c>
      <c r="I9" s="526" t="s">
        <v>1126</v>
      </c>
      <c r="J9" s="411">
        <v>3538950</v>
      </c>
      <c r="K9" s="410">
        <v>65</v>
      </c>
      <c r="L9" s="410" t="str">
        <f t="shared" si="0"/>
        <v>è</v>
      </c>
      <c r="M9" s="410" t="s">
        <v>793</v>
      </c>
      <c r="N9" s="409">
        <v>902000</v>
      </c>
      <c r="O9" s="409">
        <f t="shared" si="1"/>
        <v>2636950</v>
      </c>
      <c r="P9" s="409">
        <f t="shared" si="2"/>
        <v>527390</v>
      </c>
      <c r="Q9" s="411">
        <f t="shared" si="3"/>
        <v>4066340</v>
      </c>
      <c r="R9" s="411">
        <f t="shared" si="4"/>
        <v>2300317.5</v>
      </c>
      <c r="S9" s="409">
        <f t="shared" si="5"/>
        <v>342803.5</v>
      </c>
      <c r="T9" s="411">
        <f t="shared" si="6"/>
        <v>2500000</v>
      </c>
      <c r="U9" s="411">
        <f t="shared" si="30"/>
        <v>1250000</v>
      </c>
      <c r="V9" s="411">
        <f t="shared" si="31"/>
        <v>875000</v>
      </c>
      <c r="W9" s="409">
        <f t="shared" si="32"/>
        <v>2125000</v>
      </c>
      <c r="X9" s="411">
        <f t="shared" si="7"/>
        <v>375000</v>
      </c>
      <c r="Y9" s="411">
        <f t="shared" si="8"/>
        <v>1238632.5</v>
      </c>
      <c r="Z9" s="411">
        <f t="shared" si="9"/>
        <v>1566340</v>
      </c>
      <c r="AA9" s="437" t="s">
        <v>794</v>
      </c>
      <c r="AB9" s="438" t="s">
        <v>795</v>
      </c>
      <c r="AC9" s="438" t="s">
        <v>870</v>
      </c>
      <c r="AD9" s="406" t="s">
        <v>797</v>
      </c>
      <c r="AE9" s="406" t="s">
        <v>798</v>
      </c>
      <c r="AF9" s="406" t="s">
        <v>872</v>
      </c>
      <c r="AG9" s="736" t="s">
        <v>873</v>
      </c>
      <c r="AH9" s="406">
        <v>70121</v>
      </c>
      <c r="AI9" s="406">
        <v>93002230725</v>
      </c>
      <c r="AJ9" s="440" t="s">
        <v>876</v>
      </c>
      <c r="AK9" s="410">
        <v>63</v>
      </c>
      <c r="AL9" s="410">
        <v>203</v>
      </c>
      <c r="AM9" s="437" t="s">
        <v>999</v>
      </c>
      <c r="AN9" s="445">
        <v>38191</v>
      </c>
      <c r="AO9" s="406" t="s">
        <v>1008</v>
      </c>
      <c r="AP9" s="406">
        <v>1649</v>
      </c>
      <c r="AQ9" s="734" t="s">
        <v>75</v>
      </c>
      <c r="AR9" s="410">
        <v>13</v>
      </c>
      <c r="AS9" s="676" t="s">
        <v>164</v>
      </c>
      <c r="AT9" s="676" t="s">
        <v>164</v>
      </c>
      <c r="AU9" s="472" t="s">
        <v>295</v>
      </c>
      <c r="AV9" s="473">
        <v>38316</v>
      </c>
      <c r="AW9" s="473">
        <v>38301</v>
      </c>
      <c r="AX9" s="713">
        <v>38324</v>
      </c>
      <c r="AY9" s="474" t="s">
        <v>650</v>
      </c>
      <c r="AZ9" s="474" t="s">
        <v>143</v>
      </c>
      <c r="BA9" s="474" t="s">
        <v>797</v>
      </c>
      <c r="BB9" s="474" t="s">
        <v>391</v>
      </c>
      <c r="BC9" s="439" t="s">
        <v>144</v>
      </c>
      <c r="BD9" s="474" t="s">
        <v>145</v>
      </c>
      <c r="BF9" s="440" t="s">
        <v>1140</v>
      </c>
      <c r="BG9" s="473">
        <v>38320</v>
      </c>
      <c r="BH9" s="474" t="s">
        <v>1113</v>
      </c>
      <c r="BI9" s="411">
        <f t="shared" si="33"/>
        <v>750000</v>
      </c>
      <c r="BJ9" s="411">
        <f t="shared" si="34"/>
        <v>637500</v>
      </c>
      <c r="BK9" s="479" t="s">
        <v>1128</v>
      </c>
      <c r="BL9" s="411">
        <f t="shared" si="10"/>
        <v>112500</v>
      </c>
      <c r="BM9" s="479" t="s">
        <v>1104</v>
      </c>
      <c r="BN9" s="411">
        <f t="shared" si="11"/>
        <v>262500</v>
      </c>
      <c r="BO9" s="411">
        <f>+BN9*0.04</f>
        <v>10500</v>
      </c>
      <c r="BP9" s="411">
        <f>+BL9*0.04</f>
        <v>4500</v>
      </c>
      <c r="BQ9" s="540">
        <v>663</v>
      </c>
      <c r="BR9" s="445">
        <v>38330</v>
      </c>
      <c r="BS9" s="421" t="s">
        <v>295</v>
      </c>
      <c r="BT9" s="740" t="s">
        <v>392</v>
      </c>
      <c r="BU9" s="837" t="s">
        <v>349</v>
      </c>
      <c r="BV9" s="473">
        <v>38341</v>
      </c>
      <c r="BW9" s="443">
        <f>637500+112500</f>
        <v>750000</v>
      </c>
      <c r="BX9" s="877">
        <f>637500+112500</f>
        <v>750000</v>
      </c>
      <c r="BY9" s="543">
        <v>2103927.23</v>
      </c>
      <c r="BZ9" s="409">
        <f>(BY9*0.65)</f>
        <v>1367552.6995</v>
      </c>
      <c r="CA9" s="409">
        <f>BZ9-(BZ9*0.375)</f>
        <v>854720.4371875001</v>
      </c>
      <c r="CB9" s="409">
        <f t="shared" si="50"/>
        <v>726512.371609375</v>
      </c>
      <c r="CC9" s="409">
        <f aca="true" t="shared" si="52" ref="CC9:CC15">CA9*0.15</f>
        <v>128208.06557812501</v>
      </c>
      <c r="CD9" s="409">
        <f aca="true" t="shared" si="53" ref="CD9:CD15">CA9*0.35</f>
        <v>299152.153015625</v>
      </c>
      <c r="CE9" s="409">
        <f>CD9*0.04</f>
        <v>11966.086120625001</v>
      </c>
      <c r="CF9" s="409">
        <f>CC9*0.04</f>
        <v>5128.322623125</v>
      </c>
      <c r="CG9" s="540">
        <v>1681</v>
      </c>
      <c r="CH9" s="445">
        <v>38658</v>
      </c>
      <c r="CI9" s="580" t="s">
        <v>17</v>
      </c>
      <c r="CJ9" s="445">
        <v>38698</v>
      </c>
      <c r="CK9" s="870">
        <f>726512.37+128208.06</f>
        <v>854720.4299999999</v>
      </c>
      <c r="CL9" s="543">
        <v>213166.96</v>
      </c>
      <c r="CM9" s="409">
        <f>(CL9*0.65)</f>
        <v>138558.524</v>
      </c>
      <c r="CN9" s="1219">
        <f t="shared" si="13"/>
        <v>86599.0775</v>
      </c>
      <c r="CO9" s="409">
        <f t="shared" si="14"/>
        <v>73609.215875</v>
      </c>
      <c r="CP9" s="409">
        <f t="shared" si="51"/>
        <v>12989.861625</v>
      </c>
      <c r="CQ9" s="409">
        <f t="shared" si="15"/>
        <v>30309.677125</v>
      </c>
      <c r="CR9" s="409">
        <f>CQ9*0.04</f>
        <v>1212.387085</v>
      </c>
      <c r="CS9" s="409">
        <f>CP9*0.04</f>
        <v>519.594465</v>
      </c>
      <c r="CT9" s="540">
        <v>626</v>
      </c>
      <c r="CU9" s="445">
        <v>38887</v>
      </c>
      <c r="CV9" s="584" t="s">
        <v>1351</v>
      </c>
      <c r="CW9" s="445">
        <v>38917</v>
      </c>
      <c r="CX9" s="1218">
        <f>73609.22+12470.27</f>
        <v>86079.49</v>
      </c>
      <c r="CY9" s="543">
        <v>372300.84</v>
      </c>
      <c r="CZ9" s="409">
        <f>(CY9*0.65)</f>
        <v>241995.54600000003</v>
      </c>
      <c r="DA9" s="409">
        <f>CZ9-(CZ9*0.375)</f>
        <v>151247.21625000003</v>
      </c>
      <c r="DB9" s="409">
        <f>DA9*0.85+0.01</f>
        <v>128560.14381250001</v>
      </c>
      <c r="DC9" s="409">
        <f t="shared" si="35"/>
        <v>22687.082437500005</v>
      </c>
      <c r="DD9" s="409">
        <f t="shared" si="16"/>
        <v>52936.525687500005</v>
      </c>
      <c r="DE9" s="409">
        <f>DD9*0.04</f>
        <v>2117.4610275000005</v>
      </c>
      <c r="DF9" s="409">
        <f>DC9*0.04</f>
        <v>907.4832975000002</v>
      </c>
      <c r="DG9" s="711">
        <v>74</v>
      </c>
      <c r="DH9" s="416">
        <v>39168</v>
      </c>
      <c r="DI9" s="584" t="s">
        <v>1407</v>
      </c>
      <c r="DJ9" s="445">
        <v>39178</v>
      </c>
      <c r="DK9" s="743">
        <f t="shared" si="47"/>
        <v>151247.21625000003</v>
      </c>
      <c r="DL9" s="543">
        <v>320457.38</v>
      </c>
      <c r="DM9" s="409">
        <f>(DL9*0.65)</f>
        <v>208297.29700000002</v>
      </c>
      <c r="DN9" s="409">
        <f>DM9-(DM9*0.375)</f>
        <v>130185.81062500001</v>
      </c>
      <c r="DO9" s="409">
        <f t="shared" si="44"/>
        <v>110657.93903125</v>
      </c>
      <c r="DP9" s="409">
        <f t="shared" si="36"/>
        <v>19527.871593750002</v>
      </c>
      <c r="DQ9" s="409">
        <f t="shared" si="17"/>
        <v>45565.033718750004</v>
      </c>
      <c r="DR9" s="409">
        <f>DQ9*0.04</f>
        <v>1822.6013487500002</v>
      </c>
      <c r="DS9" s="409">
        <f>DP9*0.04</f>
        <v>781.11486375</v>
      </c>
      <c r="DT9" s="540">
        <v>429</v>
      </c>
      <c r="DU9" s="445">
        <v>39413</v>
      </c>
      <c r="DV9" s="580" t="s">
        <v>1427</v>
      </c>
      <c r="DW9" s="445">
        <v>39422</v>
      </c>
      <c r="DX9" s="866">
        <f t="shared" si="45"/>
        <v>130185.81062500001</v>
      </c>
      <c r="DY9" s="543">
        <v>356516.87</v>
      </c>
      <c r="DZ9" s="409">
        <f>(DY9*0.65)</f>
        <v>231735.9655</v>
      </c>
      <c r="EA9" s="409">
        <f>DZ9-16348.484</f>
        <v>215387.4815</v>
      </c>
      <c r="EB9" s="409">
        <f t="shared" si="18"/>
        <v>183079.359275</v>
      </c>
      <c r="EC9" s="409">
        <f t="shared" si="19"/>
        <v>32308.122225</v>
      </c>
      <c r="ED9" s="409">
        <f t="shared" si="20"/>
        <v>75385.618525</v>
      </c>
      <c r="EE9" s="409">
        <f>ED9*0.04</f>
        <v>3015.424741</v>
      </c>
      <c r="EF9" s="409">
        <f>EC9*0.04</f>
        <v>1292.324889</v>
      </c>
      <c r="EG9" s="539">
        <v>484</v>
      </c>
      <c r="EH9" s="416">
        <v>39751</v>
      </c>
      <c r="EI9" s="1170" t="s">
        <v>227</v>
      </c>
      <c r="EJ9" s="445">
        <v>39765</v>
      </c>
      <c r="EK9" s="847">
        <f>+EA9</f>
        <v>215387.4815</v>
      </c>
      <c r="EL9" s="543">
        <v>390702.0842448715</v>
      </c>
      <c r="EM9" s="409">
        <f>(EL9*0.65)</f>
        <v>253956.35475916648</v>
      </c>
      <c r="EN9" s="409">
        <f>EM9</f>
        <v>253956.35475916648</v>
      </c>
      <c r="EO9" s="409">
        <f>EN9*0.85</f>
        <v>215862.9015452915</v>
      </c>
      <c r="EP9" s="409">
        <f>EN9*0.15</f>
        <v>38093.45321387497</v>
      </c>
      <c r="EQ9" s="409">
        <f>EN9*0.35</f>
        <v>88884.72416570826</v>
      </c>
      <c r="ER9" s="409">
        <f>EQ9*0.04</f>
        <v>3555.3889666283308</v>
      </c>
      <c r="ES9" s="409">
        <f>EP9*0.04</f>
        <v>1523.7381285549989</v>
      </c>
      <c r="ET9" s="540"/>
      <c r="EU9" s="445"/>
      <c r="EV9" s="580"/>
      <c r="EW9" s="445"/>
      <c r="EX9" s="870"/>
      <c r="EY9" s="543"/>
      <c r="EZ9" s="543"/>
      <c r="FA9" s="543"/>
      <c r="FB9" s="543"/>
      <c r="FC9" s="543"/>
      <c r="FD9" s="543"/>
      <c r="FE9" s="543"/>
      <c r="FF9" s="543"/>
      <c r="FG9" s="543"/>
      <c r="FH9" s="543"/>
      <c r="FI9" s="543"/>
      <c r="FJ9" s="543"/>
      <c r="FK9" s="870">
        <f t="shared" si="37"/>
        <v>0</v>
      </c>
      <c r="FL9" s="543"/>
      <c r="FM9" s="543"/>
      <c r="FN9" s="543"/>
      <c r="FO9" s="543"/>
      <c r="FP9" s="543"/>
      <c r="FQ9" s="543"/>
      <c r="FR9" s="543"/>
      <c r="FS9" s="543"/>
      <c r="FT9" s="543"/>
      <c r="FU9" s="543"/>
      <c r="FV9" s="543"/>
      <c r="FW9" s="543"/>
      <c r="FX9" s="870"/>
      <c r="FY9" s="543"/>
      <c r="FZ9" s="543"/>
      <c r="GA9" s="543"/>
      <c r="GB9" s="543"/>
      <c r="GC9" s="543"/>
      <c r="GD9" s="543"/>
      <c r="GE9" s="543"/>
      <c r="GF9" s="543"/>
      <c r="GG9" s="543"/>
      <c r="GH9" s="543"/>
      <c r="GI9" s="543"/>
      <c r="GJ9" s="543"/>
      <c r="GK9" s="870"/>
      <c r="GL9" s="870"/>
      <c r="GM9" s="870"/>
      <c r="GN9" s="870"/>
      <c r="GO9" s="870"/>
      <c r="GP9" s="870"/>
      <c r="GQ9" s="870"/>
      <c r="GR9" s="870"/>
      <c r="GS9" s="870"/>
      <c r="GT9" s="870"/>
      <c r="GU9" s="870"/>
      <c r="GV9" s="870"/>
      <c r="GW9" s="870"/>
      <c r="GX9" s="870"/>
      <c r="GY9" s="899"/>
      <c r="GZ9" s="888">
        <f t="shared" si="38"/>
        <v>2442096.3867591666</v>
      </c>
      <c r="HA9" s="443">
        <f t="shared" si="39"/>
        <v>1437620.428375</v>
      </c>
      <c r="HB9" s="568">
        <v>37935</v>
      </c>
      <c r="HC9" s="571">
        <f>36+6+6</f>
        <v>48</v>
      </c>
      <c r="HD9" s="733">
        <f t="shared" si="46"/>
        <v>4</v>
      </c>
      <c r="HE9" s="441">
        <f t="shared" si="40"/>
        <v>39395</v>
      </c>
      <c r="HF9" s="444">
        <f t="shared" si="41"/>
        <v>2442096.3867591666</v>
      </c>
      <c r="HG9" s="817">
        <v>2</v>
      </c>
      <c r="HH9" s="444">
        <f t="shared" si="48"/>
        <v>1221048.1933795833</v>
      </c>
      <c r="HI9" s="444">
        <f t="shared" si="49"/>
        <v>1831572.290069375</v>
      </c>
      <c r="HJ9" s="543">
        <f t="shared" si="21"/>
        <v>312500</v>
      </c>
      <c r="HK9" s="543">
        <f t="shared" si="22"/>
        <v>312500</v>
      </c>
      <c r="HL9" s="543">
        <f>(T9*0.5)/HD9</f>
        <v>312500</v>
      </c>
      <c r="HM9" s="543">
        <f t="shared" si="42"/>
        <v>500000</v>
      </c>
      <c r="HN9" s="543"/>
      <c r="HO9" s="974">
        <f t="shared" si="23"/>
        <v>3757071.364244872</v>
      </c>
      <c r="HP9" s="974">
        <f t="shared" si="24"/>
        <v>2442096.3867591666</v>
      </c>
      <c r="HQ9" s="974">
        <f t="shared" si="25"/>
        <v>1221048.1933795833</v>
      </c>
      <c r="HR9" s="974">
        <f t="shared" si="26"/>
        <v>854733.7353657082</v>
      </c>
      <c r="HS9" s="974">
        <f t="shared" si="27"/>
        <v>2075781.9287452917</v>
      </c>
      <c r="HT9" s="974">
        <f t="shared" si="28"/>
        <v>366314.458013875</v>
      </c>
      <c r="HU9" s="974">
        <f t="shared" si="29"/>
        <v>1314974.9774857052</v>
      </c>
    </row>
    <row r="10" spans="1:229" s="155" customFormat="1" ht="12" customHeight="1">
      <c r="A10" s="421">
        <v>8</v>
      </c>
      <c r="B10" s="406" t="e">
        <f>IF(#REF!&gt;0,"si","no")</f>
        <v>#REF!</v>
      </c>
      <c r="C10" s="407">
        <v>15</v>
      </c>
      <c r="D10" s="477" t="s">
        <v>1142</v>
      </c>
      <c r="E10" s="477" t="s">
        <v>878</v>
      </c>
      <c r="F10" s="477" t="s">
        <v>480</v>
      </c>
      <c r="G10" s="477" t="s">
        <v>92</v>
      </c>
      <c r="H10" s="820" t="s">
        <v>1178</v>
      </c>
      <c r="I10" s="526" t="s">
        <v>1112</v>
      </c>
      <c r="J10" s="411">
        <v>996480</v>
      </c>
      <c r="K10" s="410">
        <v>65</v>
      </c>
      <c r="L10" s="410" t="str">
        <f t="shared" si="0"/>
        <v>è</v>
      </c>
      <c r="M10" s="410" t="s">
        <v>793</v>
      </c>
      <c r="N10" s="409">
        <v>182160</v>
      </c>
      <c r="O10" s="409">
        <f t="shared" si="1"/>
        <v>814320</v>
      </c>
      <c r="P10" s="409">
        <f t="shared" si="2"/>
        <v>162864</v>
      </c>
      <c r="Q10" s="411">
        <f t="shared" si="3"/>
        <v>1159344</v>
      </c>
      <c r="R10" s="411">
        <f t="shared" si="4"/>
        <v>647712</v>
      </c>
      <c r="S10" s="409">
        <f t="shared" si="5"/>
        <v>105861.6</v>
      </c>
      <c r="T10" s="411">
        <v>753573.6</v>
      </c>
      <c r="U10" s="411">
        <f t="shared" si="30"/>
        <v>376786.8</v>
      </c>
      <c r="V10" s="411">
        <f t="shared" si="31"/>
        <v>263750.75999999995</v>
      </c>
      <c r="W10" s="409">
        <f t="shared" si="32"/>
        <v>640537.5599999999</v>
      </c>
      <c r="X10" s="411">
        <f t="shared" si="7"/>
        <v>113036.04</v>
      </c>
      <c r="Y10" s="411">
        <f t="shared" si="8"/>
        <v>348768</v>
      </c>
      <c r="Z10" s="411">
        <f t="shared" si="9"/>
        <v>405770.4</v>
      </c>
      <c r="AA10" s="412" t="s">
        <v>794</v>
      </c>
      <c r="AB10" s="413" t="s">
        <v>795</v>
      </c>
      <c r="AC10" s="413" t="s">
        <v>879</v>
      </c>
      <c r="AD10" s="213" t="s">
        <v>797</v>
      </c>
      <c r="AE10" s="213" t="s">
        <v>798</v>
      </c>
      <c r="AF10" s="213" t="s">
        <v>880</v>
      </c>
      <c r="AG10" s="213">
        <v>11</v>
      </c>
      <c r="AH10" s="213">
        <v>70121</v>
      </c>
      <c r="AI10" s="432" t="s">
        <v>1021</v>
      </c>
      <c r="AJ10" s="414" t="s">
        <v>881</v>
      </c>
      <c r="AK10" s="415">
        <v>62</v>
      </c>
      <c r="AL10" s="415">
        <v>267</v>
      </c>
      <c r="AM10" s="420">
        <v>38177</v>
      </c>
      <c r="AN10" s="420">
        <v>38238</v>
      </c>
      <c r="AO10" s="406" t="s">
        <v>69</v>
      </c>
      <c r="AP10" s="406">
        <v>1683</v>
      </c>
      <c r="AQ10" s="415">
        <v>31</v>
      </c>
      <c r="AR10" s="415">
        <v>26</v>
      </c>
      <c r="AS10" s="677" t="s">
        <v>142</v>
      </c>
      <c r="AT10" s="677" t="s">
        <v>142</v>
      </c>
      <c r="AU10" s="470" t="s">
        <v>295</v>
      </c>
      <c r="AV10" s="471">
        <v>38320</v>
      </c>
      <c r="AW10" s="471">
        <v>38309</v>
      </c>
      <c r="AX10" s="709">
        <v>38320</v>
      </c>
      <c r="AY10" s="155" t="s">
        <v>1113</v>
      </c>
      <c r="AZ10" s="155" t="s">
        <v>143</v>
      </c>
      <c r="BA10" s="155" t="s">
        <v>1114</v>
      </c>
      <c r="BB10" s="155" t="s">
        <v>1115</v>
      </c>
      <c r="BC10" s="405">
        <v>35837</v>
      </c>
      <c r="BD10" s="155" t="s">
        <v>1116</v>
      </c>
      <c r="BE10" s="155" t="s">
        <v>1452</v>
      </c>
      <c r="BF10" s="414" t="s">
        <v>1141</v>
      </c>
      <c r="BG10" s="471">
        <v>38320</v>
      </c>
      <c r="BH10" s="155" t="s">
        <v>1113</v>
      </c>
      <c r="BI10" s="411">
        <f t="shared" si="33"/>
        <v>226072.08</v>
      </c>
      <c r="BJ10" s="411">
        <f t="shared" si="34"/>
        <v>192161.26799999998</v>
      </c>
      <c r="BK10" s="479" t="s">
        <v>1104</v>
      </c>
      <c r="BL10" s="411">
        <f t="shared" si="10"/>
        <v>33910.812</v>
      </c>
      <c r="BM10" s="419">
        <v>2003</v>
      </c>
      <c r="BN10" s="411">
        <f t="shared" si="11"/>
        <v>79125.22799999999</v>
      </c>
      <c r="BO10" s="411">
        <f>+BN10*0.04</f>
        <v>3165.0091199999997</v>
      </c>
      <c r="BP10" s="411">
        <f>+BL10*0.04</f>
        <v>1356.43248</v>
      </c>
      <c r="BQ10" s="539">
        <v>664</v>
      </c>
      <c r="BR10" s="416">
        <v>38330</v>
      </c>
      <c r="BS10" s="405" t="s">
        <v>295</v>
      </c>
      <c r="BT10" s="711" t="s">
        <v>393</v>
      </c>
      <c r="BU10" s="838" t="s">
        <v>350</v>
      </c>
      <c r="BV10" s="435">
        <v>38341</v>
      </c>
      <c r="BW10" s="430">
        <f>192161.27+33910.81</f>
        <v>226072.08</v>
      </c>
      <c r="BX10" s="878">
        <f>192161.27+33910.81</f>
        <v>226072.08</v>
      </c>
      <c r="BY10" s="542">
        <v>366459.69</v>
      </c>
      <c r="BZ10" s="409">
        <f>(BY10*0.65)</f>
        <v>238198.7985</v>
      </c>
      <c r="CA10" s="409">
        <f>BZ10-(BZ10*0.375)</f>
        <v>148874.24906250002</v>
      </c>
      <c r="CB10" s="409">
        <f t="shared" si="50"/>
        <v>126543.11170312502</v>
      </c>
      <c r="CC10" s="409">
        <f t="shared" si="52"/>
        <v>22331.137359375003</v>
      </c>
      <c r="CD10" s="409">
        <f t="shared" si="53"/>
        <v>52105.98717187501</v>
      </c>
      <c r="CE10" s="409">
        <v>0</v>
      </c>
      <c r="CF10" s="409">
        <v>0</v>
      </c>
      <c r="CG10" s="539">
        <v>1637</v>
      </c>
      <c r="CH10" s="416">
        <v>38638</v>
      </c>
      <c r="CI10" s="579" t="s">
        <v>15</v>
      </c>
      <c r="CJ10" s="471">
        <v>38653</v>
      </c>
      <c r="CK10" s="872">
        <f>126543.11+22331.14</f>
        <v>148874.25</v>
      </c>
      <c r="CL10" s="542">
        <v>314334.75976</v>
      </c>
      <c r="CM10" s="409">
        <f>(CL10*0.65)</f>
        <v>204317.593844</v>
      </c>
      <c r="CN10" s="409">
        <f>CM10-(CM10*0.375)</f>
        <v>127698.4961525</v>
      </c>
      <c r="CO10" s="409">
        <f>CN10*0.85+0.01</f>
        <v>108543.73172962498</v>
      </c>
      <c r="CP10" s="409">
        <f t="shared" si="51"/>
        <v>19154.774422874998</v>
      </c>
      <c r="CQ10" s="409">
        <f t="shared" si="15"/>
        <v>44694.473653375</v>
      </c>
      <c r="CR10" s="542"/>
      <c r="CS10" s="542"/>
      <c r="CT10" s="539">
        <v>177</v>
      </c>
      <c r="CU10" s="416">
        <v>39583</v>
      </c>
      <c r="CV10" s="580" t="s">
        <v>732</v>
      </c>
      <c r="CW10" s="416">
        <v>39618</v>
      </c>
      <c r="CX10" s="743">
        <f>+CN10</f>
        <v>127698.4961525</v>
      </c>
      <c r="CY10" s="542">
        <v>261349.93</v>
      </c>
      <c r="CZ10" s="409">
        <f>(CY10*0.65)</f>
        <v>169877.4545</v>
      </c>
      <c r="DA10" s="409">
        <f>CZ10-60128.43</f>
        <v>109749.0245</v>
      </c>
      <c r="DB10" s="409">
        <f>DA10*0.85</f>
        <v>93286.670825</v>
      </c>
      <c r="DC10" s="409">
        <f t="shared" si="35"/>
        <v>16462.353675</v>
      </c>
      <c r="DD10" s="409">
        <f t="shared" si="16"/>
        <v>38412.158574999994</v>
      </c>
      <c r="DE10" s="409">
        <v>0</v>
      </c>
      <c r="DF10" s="409">
        <v>0</v>
      </c>
      <c r="DG10" s="711">
        <v>368</v>
      </c>
      <c r="DH10" s="416">
        <v>39715</v>
      </c>
      <c r="DI10" s="581" t="s">
        <v>440</v>
      </c>
      <c r="DJ10" s="416">
        <v>39730</v>
      </c>
      <c r="DK10" s="743">
        <f t="shared" si="47"/>
        <v>109749.0245</v>
      </c>
      <c r="DL10" s="542">
        <v>159232.42</v>
      </c>
      <c r="DM10" s="409">
        <f>(DL10*0.65)</f>
        <v>103501.07300000002</v>
      </c>
      <c r="DN10" s="409">
        <f>DM10</f>
        <v>103501.07300000002</v>
      </c>
      <c r="DO10" s="409">
        <f t="shared" si="44"/>
        <v>87975.91205000001</v>
      </c>
      <c r="DP10" s="409">
        <f t="shared" si="36"/>
        <v>15525.160950000001</v>
      </c>
      <c r="DQ10" s="409">
        <f t="shared" si="17"/>
        <v>36225.375550000004</v>
      </c>
      <c r="DR10" s="409">
        <v>0</v>
      </c>
      <c r="DS10" s="409">
        <v>0</v>
      </c>
      <c r="DT10" s="711">
        <v>69</v>
      </c>
      <c r="DU10" s="416">
        <v>39850</v>
      </c>
      <c r="DV10" s="581" t="s">
        <v>239</v>
      </c>
      <c r="DW10" s="416">
        <v>39861</v>
      </c>
      <c r="DX10" s="867">
        <f t="shared" si="45"/>
        <v>103501.07300000002</v>
      </c>
      <c r="DY10" s="542">
        <v>57683.12331692316</v>
      </c>
      <c r="DZ10" s="409">
        <f>(DY10*0.65)</f>
        <v>37494.03015600005</v>
      </c>
      <c r="EA10" s="409">
        <f>DZ10</f>
        <v>37494.03015600005</v>
      </c>
      <c r="EB10" s="409">
        <f t="shared" si="18"/>
        <v>31869.925632600043</v>
      </c>
      <c r="EC10" s="409">
        <f t="shared" si="19"/>
        <v>5624.104523400008</v>
      </c>
      <c r="ED10" s="409">
        <f t="shared" si="20"/>
        <v>13122.910554600017</v>
      </c>
      <c r="EE10" s="542"/>
      <c r="EF10" s="542"/>
      <c r="EG10" s="539"/>
      <c r="EH10" s="416"/>
      <c r="EI10" s="581"/>
      <c r="EJ10" s="416"/>
      <c r="EK10" s="743"/>
      <c r="EL10" s="542"/>
      <c r="EM10" s="542"/>
      <c r="EN10" s="542"/>
      <c r="EO10" s="542"/>
      <c r="EP10" s="542"/>
      <c r="EQ10" s="542"/>
      <c r="ER10" s="542"/>
      <c r="ES10" s="542"/>
      <c r="ET10" s="539"/>
      <c r="EU10" s="416"/>
      <c r="EV10" s="581"/>
      <c r="EW10" s="416"/>
      <c r="EX10" s="872"/>
      <c r="EY10" s="542"/>
      <c r="EZ10" s="542"/>
      <c r="FA10" s="542"/>
      <c r="FB10" s="542"/>
      <c r="FC10" s="542"/>
      <c r="FD10" s="542"/>
      <c r="FE10" s="542"/>
      <c r="FF10" s="542"/>
      <c r="FG10" s="542"/>
      <c r="FH10" s="542"/>
      <c r="FI10" s="542"/>
      <c r="FJ10" s="542"/>
      <c r="FK10" s="870">
        <f t="shared" si="37"/>
        <v>0</v>
      </c>
      <c r="FL10" s="542"/>
      <c r="FM10" s="542"/>
      <c r="FN10" s="542"/>
      <c r="FO10" s="542"/>
      <c r="FP10" s="542"/>
      <c r="FQ10" s="542"/>
      <c r="FR10" s="542"/>
      <c r="FS10" s="542"/>
      <c r="FT10" s="542"/>
      <c r="FU10" s="542"/>
      <c r="FV10" s="542"/>
      <c r="FW10" s="542"/>
      <c r="FX10" s="872"/>
      <c r="FY10" s="542"/>
      <c r="FZ10" s="542"/>
      <c r="GA10" s="542"/>
      <c r="GB10" s="542"/>
      <c r="GC10" s="542"/>
      <c r="GD10" s="542"/>
      <c r="GE10" s="542"/>
      <c r="GF10" s="542"/>
      <c r="GG10" s="542"/>
      <c r="GH10" s="542"/>
      <c r="GI10" s="542"/>
      <c r="GJ10" s="542"/>
      <c r="GK10" s="872"/>
      <c r="GL10" s="872"/>
      <c r="GM10" s="872"/>
      <c r="GN10" s="872"/>
      <c r="GO10" s="872"/>
      <c r="GP10" s="872"/>
      <c r="GQ10" s="872"/>
      <c r="GR10" s="872"/>
      <c r="GS10" s="872"/>
      <c r="GT10" s="872"/>
      <c r="GU10" s="872"/>
      <c r="GV10" s="872"/>
      <c r="GW10" s="872"/>
      <c r="GX10" s="872"/>
      <c r="GY10" s="899"/>
      <c r="GZ10" s="888">
        <f t="shared" si="38"/>
        <v>753388.9500000001</v>
      </c>
      <c r="HA10" s="443">
        <f t="shared" si="39"/>
        <v>489822.8436525</v>
      </c>
      <c r="HB10" s="566">
        <v>37974</v>
      </c>
      <c r="HC10" s="655">
        <f>36+6+9+3.44+3</f>
        <v>57.44</v>
      </c>
      <c r="HD10" s="697">
        <f t="shared" si="46"/>
        <v>4.786666666666666</v>
      </c>
      <c r="HE10" s="441">
        <f t="shared" si="40"/>
        <v>39721.13333333333</v>
      </c>
      <c r="HF10" s="444">
        <f t="shared" si="41"/>
        <v>753388.9500000001</v>
      </c>
      <c r="HG10" s="817">
        <v>1</v>
      </c>
      <c r="HH10" s="444">
        <f t="shared" si="48"/>
        <v>753388.9500000001</v>
      </c>
      <c r="HI10" s="444">
        <f t="shared" si="49"/>
        <v>1130083.425</v>
      </c>
      <c r="HJ10" s="542">
        <f t="shared" si="21"/>
        <v>78715.90529247912</v>
      </c>
      <c r="HK10" s="542">
        <f t="shared" si="22"/>
        <v>78715.90529247912</v>
      </c>
      <c r="HL10" s="542">
        <f>(T10*0.5)/HD10</f>
        <v>78715.90529247912</v>
      </c>
      <c r="HM10" s="542">
        <f t="shared" si="42"/>
        <v>150714.72</v>
      </c>
      <c r="HN10" s="542"/>
      <c r="HO10" s="974">
        <f t="shared" si="23"/>
        <v>1159059.923076923</v>
      </c>
      <c r="HP10" s="974">
        <f t="shared" si="24"/>
        <v>753388.9500000001</v>
      </c>
      <c r="HQ10" s="974">
        <f t="shared" si="25"/>
        <v>376694.47500000003</v>
      </c>
      <c r="HR10" s="974">
        <f t="shared" si="26"/>
        <v>263686.1325</v>
      </c>
      <c r="HS10" s="974">
        <f t="shared" si="27"/>
        <v>640380.6075</v>
      </c>
      <c r="HT10" s="974">
        <f t="shared" si="28"/>
        <v>113008.34250000001</v>
      </c>
      <c r="HU10" s="974">
        <f t="shared" si="29"/>
        <v>405670.97307692294</v>
      </c>
    </row>
    <row r="11" spans="1:229" s="155" customFormat="1" ht="12" customHeight="1">
      <c r="A11" s="405">
        <v>9</v>
      </c>
      <c r="B11" s="406" t="e">
        <f>IF(#REF!&gt;0,"si","no")</f>
        <v>#REF!</v>
      </c>
      <c r="C11" s="407">
        <v>25</v>
      </c>
      <c r="D11" s="477" t="s">
        <v>834</v>
      </c>
      <c r="E11" s="477" t="s">
        <v>835</v>
      </c>
      <c r="F11" s="477" t="s">
        <v>480</v>
      </c>
      <c r="G11" s="477" t="s">
        <v>1378</v>
      </c>
      <c r="H11" s="820" t="s">
        <v>1181</v>
      </c>
      <c r="I11" s="526" t="s">
        <v>1151</v>
      </c>
      <c r="J11" s="411">
        <v>2074479</v>
      </c>
      <c r="K11" s="410">
        <v>65</v>
      </c>
      <c r="L11" s="410" t="str">
        <f t="shared" si="0"/>
        <v>è</v>
      </c>
      <c r="M11" s="410" t="s">
        <v>793</v>
      </c>
      <c r="N11" s="409">
        <v>1140479</v>
      </c>
      <c r="O11" s="409">
        <f t="shared" si="1"/>
        <v>934000</v>
      </c>
      <c r="P11" s="409">
        <f t="shared" si="2"/>
        <v>186800</v>
      </c>
      <c r="Q11" s="411">
        <f t="shared" si="3"/>
        <v>2261279</v>
      </c>
      <c r="R11" s="431">
        <f t="shared" si="4"/>
        <v>1348411.35</v>
      </c>
      <c r="S11" s="409">
        <f t="shared" si="5"/>
        <v>121420</v>
      </c>
      <c r="T11" s="411">
        <f t="shared" si="6"/>
        <v>1469831.35</v>
      </c>
      <c r="U11" s="411">
        <f t="shared" si="30"/>
        <v>734915.675</v>
      </c>
      <c r="V11" s="411">
        <f t="shared" si="31"/>
        <v>514440.9725</v>
      </c>
      <c r="W11" s="409">
        <f t="shared" si="32"/>
        <v>1249356.6475</v>
      </c>
      <c r="X11" s="411">
        <f t="shared" si="7"/>
        <v>220474.7025</v>
      </c>
      <c r="Y11" s="411">
        <f t="shared" si="8"/>
        <v>726067.6499999999</v>
      </c>
      <c r="Z11" s="411">
        <f t="shared" si="9"/>
        <v>791447.6499999999</v>
      </c>
      <c r="AA11" s="412" t="s">
        <v>794</v>
      </c>
      <c r="AB11" s="432" t="s">
        <v>836</v>
      </c>
      <c r="AC11" s="432" t="s">
        <v>837</v>
      </c>
      <c r="AD11" s="405" t="s">
        <v>797</v>
      </c>
      <c r="AE11" s="405" t="s">
        <v>798</v>
      </c>
      <c r="AF11" s="405" t="s">
        <v>838</v>
      </c>
      <c r="AG11" s="405">
        <v>184</v>
      </c>
      <c r="AH11" s="405">
        <v>70126</v>
      </c>
      <c r="AI11" s="405">
        <v>93281980727</v>
      </c>
      <c r="AJ11" s="414" t="s">
        <v>1095</v>
      </c>
      <c r="AK11" s="410">
        <v>80</v>
      </c>
      <c r="AL11" s="410">
        <v>253</v>
      </c>
      <c r="AM11" s="416">
        <v>38166</v>
      </c>
      <c r="AN11" s="416">
        <v>38191</v>
      </c>
      <c r="AO11" s="406" t="s">
        <v>4</v>
      </c>
      <c r="AP11" s="406">
        <v>1655</v>
      </c>
      <c r="AQ11" s="410">
        <v>21</v>
      </c>
      <c r="AR11" s="410">
        <v>17</v>
      </c>
      <c r="AS11" s="818" t="s">
        <v>165</v>
      </c>
      <c r="AT11" s="676" t="s">
        <v>165</v>
      </c>
      <c r="AU11" s="470" t="s">
        <v>295</v>
      </c>
      <c r="AV11" s="471">
        <v>38331</v>
      </c>
      <c r="AW11" s="471">
        <v>38322</v>
      </c>
      <c r="AX11" s="709">
        <v>38322</v>
      </c>
      <c r="AY11" s="155" t="s">
        <v>734</v>
      </c>
      <c r="BB11" s="155" t="s">
        <v>834</v>
      </c>
      <c r="BC11" s="432">
        <v>24996</v>
      </c>
      <c r="BE11" s="155" t="s">
        <v>807</v>
      </c>
      <c r="BF11" s="853" t="s">
        <v>1152</v>
      </c>
      <c r="BG11" s="471">
        <v>38323</v>
      </c>
      <c r="BH11" s="155" t="s">
        <v>288</v>
      </c>
      <c r="BI11" s="411">
        <f t="shared" si="33"/>
        <v>440949.405</v>
      </c>
      <c r="BJ11" s="411">
        <f t="shared" si="34"/>
        <v>374806.99425</v>
      </c>
      <c r="BK11" s="479" t="s">
        <v>1104</v>
      </c>
      <c r="BL11" s="411">
        <f t="shared" si="10"/>
        <v>66142.41075</v>
      </c>
      <c r="BM11" s="479" t="s">
        <v>1104</v>
      </c>
      <c r="BN11" s="411">
        <f t="shared" si="11"/>
        <v>154332.29175</v>
      </c>
      <c r="BO11" s="411"/>
      <c r="BP11" s="411"/>
      <c r="BQ11" s="539">
        <v>668</v>
      </c>
      <c r="BR11" s="416">
        <v>38330</v>
      </c>
      <c r="BS11" s="405" t="s">
        <v>154</v>
      </c>
      <c r="BT11" s="711" t="s">
        <v>390</v>
      </c>
      <c r="BU11" s="838" t="s">
        <v>353</v>
      </c>
      <c r="BV11" s="435">
        <v>38341</v>
      </c>
      <c r="BW11" s="430">
        <f>374806.99+66142.41</f>
        <v>440949.4</v>
      </c>
      <c r="BX11" s="878">
        <f>374806.99+66142.41</f>
        <v>440949.4</v>
      </c>
      <c r="BY11" s="542">
        <v>232306.43</v>
      </c>
      <c r="BZ11" s="409">
        <f>(BY11*0.65)</f>
        <v>150999.1795</v>
      </c>
      <c r="CA11" s="409">
        <f>BZ11-(BZ11*0.375)</f>
        <v>94374.4871875</v>
      </c>
      <c r="CB11" s="409">
        <f t="shared" si="50"/>
        <v>80218.31410937499</v>
      </c>
      <c r="CC11" s="409">
        <f t="shared" si="52"/>
        <v>14156.173078124999</v>
      </c>
      <c r="CD11" s="409">
        <f t="shared" si="53"/>
        <v>33031.070515625</v>
      </c>
      <c r="CE11" s="409">
        <v>0</v>
      </c>
      <c r="CF11" s="409">
        <v>0</v>
      </c>
      <c r="CG11" s="539">
        <v>1633</v>
      </c>
      <c r="CH11" s="416">
        <v>38638</v>
      </c>
      <c r="CI11" s="579" t="s">
        <v>16</v>
      </c>
      <c r="CJ11" s="416">
        <v>38653</v>
      </c>
      <c r="CK11" s="872">
        <f>80218.31+14156</f>
        <v>94374.31</v>
      </c>
      <c r="CL11" s="542">
        <v>91136.9023</v>
      </c>
      <c r="CM11" s="409">
        <f>(CL11*0.65)</f>
        <v>59238.986495000005</v>
      </c>
      <c r="CN11" s="409">
        <f>CM11-(CM11*0.375)</f>
        <v>37024.366559375005</v>
      </c>
      <c r="CO11" s="409">
        <f>CN11*0.85</f>
        <v>31470.711575468755</v>
      </c>
      <c r="CP11" s="409">
        <f t="shared" si="51"/>
        <v>5553.654983906251</v>
      </c>
      <c r="CQ11" s="409">
        <f>CN11*0.35</f>
        <v>12958.52829578125</v>
      </c>
      <c r="CR11" s="423"/>
      <c r="CS11" s="423"/>
      <c r="CT11" s="539">
        <v>1896</v>
      </c>
      <c r="CU11" s="420">
        <v>38684</v>
      </c>
      <c r="CV11" s="579" t="s">
        <v>1319</v>
      </c>
      <c r="CW11" s="416">
        <v>38708</v>
      </c>
      <c r="CX11" s="743">
        <f>31470.72+5553.65</f>
        <v>37024.37</v>
      </c>
      <c r="CY11" s="542">
        <v>316636.23</v>
      </c>
      <c r="CZ11" s="409">
        <f>(CY11*0.65)</f>
        <v>205813.5495</v>
      </c>
      <c r="DA11" s="409">
        <f aca="true" t="shared" si="54" ref="DA11:DA17">CZ11-(CZ11*0.375)</f>
        <v>128633.46843749999</v>
      </c>
      <c r="DB11" s="409">
        <f aca="true" t="shared" si="55" ref="DB11:DB17">DA11*0.85</f>
        <v>109338.44817187499</v>
      </c>
      <c r="DC11" s="409">
        <f aca="true" t="shared" si="56" ref="DC11:DC17">DA11*0.15</f>
        <v>19295.020265624997</v>
      </c>
      <c r="DD11" s="409">
        <f aca="true" t="shared" si="57" ref="DD11:DD18">DA11*0.35</f>
        <v>45021.71395312499</v>
      </c>
      <c r="DE11" s="409">
        <v>0</v>
      </c>
      <c r="DF11" s="409">
        <v>0</v>
      </c>
      <c r="DG11" s="711" t="s">
        <v>1375</v>
      </c>
      <c r="DH11" s="416">
        <v>39027</v>
      </c>
      <c r="DI11" s="579" t="s">
        <v>1381</v>
      </c>
      <c r="DJ11" s="416">
        <v>39042</v>
      </c>
      <c r="DK11" s="743">
        <f t="shared" si="47"/>
        <v>128633.46843749999</v>
      </c>
      <c r="DL11" s="542">
        <v>259334.85347999996</v>
      </c>
      <c r="DM11" s="409">
        <f>(DL11*0.65)</f>
        <v>168567.654762</v>
      </c>
      <c r="DN11" s="409">
        <f aca="true" t="shared" si="58" ref="DN11:DN16">DM11-(DM11*0.375)</f>
        <v>105354.78422624999</v>
      </c>
      <c r="DO11" s="409">
        <f>DN11*0.85-0.01</f>
        <v>89551.5565923125</v>
      </c>
      <c r="DP11" s="409">
        <f aca="true" t="shared" si="59" ref="DP11:DP17">DN11*0.15</f>
        <v>15803.217633937498</v>
      </c>
      <c r="DQ11" s="409">
        <f aca="true" t="shared" si="60" ref="DQ11:DQ17">DN11*0.35</f>
        <v>36874.174479187495</v>
      </c>
      <c r="DR11" s="409">
        <v>0</v>
      </c>
      <c r="DS11" s="409">
        <v>0</v>
      </c>
      <c r="DT11" s="417">
        <v>73</v>
      </c>
      <c r="DU11" s="441">
        <v>39168</v>
      </c>
      <c r="DV11" s="859" t="s">
        <v>1408</v>
      </c>
      <c r="DW11" s="416">
        <v>39178</v>
      </c>
      <c r="DX11" s="867">
        <f t="shared" si="45"/>
        <v>105354.78422624999</v>
      </c>
      <c r="DY11" s="542">
        <v>151796.743</v>
      </c>
      <c r="DZ11" s="409">
        <f>(DY11*0.65)</f>
        <v>98667.88295</v>
      </c>
      <c r="EA11" s="409">
        <f>DZ11-(DZ11*0.375)</f>
        <v>61667.42684375</v>
      </c>
      <c r="EB11" s="409">
        <f t="shared" si="18"/>
        <v>52417.3128171875</v>
      </c>
      <c r="EC11" s="409">
        <f>EA11*0.15+0.01</f>
        <v>9250.1240265625</v>
      </c>
      <c r="ED11" s="409">
        <f t="shared" si="20"/>
        <v>21583.5993953125</v>
      </c>
      <c r="EE11" s="472">
        <v>0</v>
      </c>
      <c r="EF11" s="472">
        <v>0</v>
      </c>
      <c r="EG11" s="539">
        <v>316</v>
      </c>
      <c r="EH11" s="416">
        <v>39363</v>
      </c>
      <c r="EI11" s="584" t="s">
        <v>24</v>
      </c>
      <c r="EJ11" s="416">
        <v>39380</v>
      </c>
      <c r="EK11" s="743">
        <f>EA11</f>
        <v>61667.42684375</v>
      </c>
      <c r="EL11" s="542">
        <v>411119.04</v>
      </c>
      <c r="EM11" s="409">
        <f>(EL11*0.65)</f>
        <v>267227.376</v>
      </c>
      <c r="EN11" s="409">
        <f>EM11-(EM11*0.375)</f>
        <v>167017.11</v>
      </c>
      <c r="EO11" s="409">
        <f>EN11*0.85</f>
        <v>141964.54349999997</v>
      </c>
      <c r="EP11" s="409">
        <f>EN11*0.15</f>
        <v>25052.566499999997</v>
      </c>
      <c r="EQ11" s="409">
        <f>EN11*0.35</f>
        <v>58455.98849999999</v>
      </c>
      <c r="ER11" s="542"/>
      <c r="ES11" s="708"/>
      <c r="ET11" s="539">
        <v>9</v>
      </c>
      <c r="EU11" s="416">
        <v>39457</v>
      </c>
      <c r="EV11" s="706" t="s">
        <v>403</v>
      </c>
      <c r="EW11" s="416"/>
      <c r="EX11" s="861">
        <f>+EN11</f>
        <v>167017.11</v>
      </c>
      <c r="EY11" s="542">
        <v>578824.34</v>
      </c>
      <c r="EZ11" s="409">
        <f>(EY11*0.65)</f>
        <v>376235.821</v>
      </c>
      <c r="FA11" s="409">
        <f>EZ11-84506.42</f>
        <v>291729.401</v>
      </c>
      <c r="FB11" s="409">
        <f>FA11*0.85</f>
        <v>247969.99085</v>
      </c>
      <c r="FC11" s="409">
        <f>FA11*0.15</f>
        <v>43759.41015</v>
      </c>
      <c r="FD11" s="409">
        <f>FA11*0.35</f>
        <v>102105.29035</v>
      </c>
      <c r="FE11" s="542"/>
      <c r="FF11" s="542"/>
      <c r="FG11" s="905">
        <v>679</v>
      </c>
      <c r="FH11" s="445">
        <v>39805</v>
      </c>
      <c r="FI11" s="542" t="s">
        <v>236</v>
      </c>
      <c r="FJ11" s="893">
        <v>39825</v>
      </c>
      <c r="FK11" s="870">
        <f t="shared" si="37"/>
        <v>291729.401</v>
      </c>
      <c r="FL11" s="542"/>
      <c r="FM11" s="542"/>
      <c r="FN11" s="542"/>
      <c r="FO11" s="542"/>
      <c r="FP11" s="542"/>
      <c r="FQ11" s="542"/>
      <c r="FR11" s="542"/>
      <c r="FS11" s="542"/>
      <c r="FT11" s="542"/>
      <c r="FU11" s="542"/>
      <c r="FV11" s="542"/>
      <c r="FW11" s="542"/>
      <c r="FX11" s="872"/>
      <c r="FY11" s="542"/>
      <c r="FZ11" s="542"/>
      <c r="GA11" s="542"/>
      <c r="GB11" s="542"/>
      <c r="GC11" s="542"/>
      <c r="GD11" s="542"/>
      <c r="GE11" s="542"/>
      <c r="GF11" s="542"/>
      <c r="GG11" s="542"/>
      <c r="GH11" s="542"/>
      <c r="GI11" s="542"/>
      <c r="GJ11" s="542"/>
      <c r="GK11" s="872"/>
      <c r="GL11" s="872"/>
      <c r="GM11" s="872"/>
      <c r="GN11" s="872"/>
      <c r="GO11" s="872"/>
      <c r="GP11" s="872"/>
      <c r="GQ11" s="872"/>
      <c r="GR11" s="872"/>
      <c r="GS11" s="872"/>
      <c r="GT11" s="872"/>
      <c r="GU11" s="872"/>
      <c r="GV11" s="872"/>
      <c r="GW11" s="872"/>
      <c r="GX11" s="872"/>
      <c r="GY11" s="899"/>
      <c r="GZ11" s="888">
        <f t="shared" si="38"/>
        <v>950514.6292069999</v>
      </c>
      <c r="HA11" s="443">
        <f t="shared" si="39"/>
        <v>594071.4695075001</v>
      </c>
      <c r="HB11" s="566">
        <v>38139</v>
      </c>
      <c r="HC11" s="655">
        <f>36+6+6</f>
        <v>48</v>
      </c>
      <c r="HD11" s="697">
        <f t="shared" si="46"/>
        <v>4</v>
      </c>
      <c r="HE11" s="441">
        <f t="shared" si="40"/>
        <v>39599</v>
      </c>
      <c r="HF11" s="444">
        <f t="shared" si="41"/>
        <v>950514.6292069999</v>
      </c>
      <c r="HG11" s="817">
        <v>2</v>
      </c>
      <c r="HH11" s="444">
        <f t="shared" si="48"/>
        <v>475257.31460349995</v>
      </c>
      <c r="HI11" s="444">
        <f t="shared" si="49"/>
        <v>712885.9719052499</v>
      </c>
      <c r="HJ11" s="542">
        <f t="shared" si="21"/>
        <v>183728.91875</v>
      </c>
      <c r="HK11" s="542">
        <f t="shared" si="22"/>
        <v>183728.91875</v>
      </c>
      <c r="HL11" s="542">
        <f>(T11*0.5)/HD11</f>
        <v>183728.91875</v>
      </c>
      <c r="HM11" s="542">
        <f t="shared" si="42"/>
        <v>293966.27</v>
      </c>
      <c r="HN11" s="542"/>
      <c r="HO11" s="974">
        <f t="shared" si="23"/>
        <v>2041154.5387799998</v>
      </c>
      <c r="HP11" s="974">
        <f t="shared" si="24"/>
        <v>1326750.4502070001</v>
      </c>
      <c r="HQ11" s="974">
        <f t="shared" si="25"/>
        <v>663375.2251035001</v>
      </c>
      <c r="HR11" s="974">
        <f t="shared" si="26"/>
        <v>464362.65757245</v>
      </c>
      <c r="HS11" s="974">
        <f t="shared" si="27"/>
        <v>1127737.88267595</v>
      </c>
      <c r="HT11" s="974">
        <f t="shared" si="28"/>
        <v>199012.56753105</v>
      </c>
      <c r="HU11" s="974">
        <f t="shared" si="29"/>
        <v>714404.0885729997</v>
      </c>
    </row>
    <row r="12" spans="1:229" s="1024" customFormat="1" ht="12" customHeight="1">
      <c r="A12" s="979">
        <v>10</v>
      </c>
      <c r="B12" s="980" t="e">
        <f>IF(#REF!&gt;0,"si","no")</f>
        <v>#REF!</v>
      </c>
      <c r="C12" s="981">
        <v>26</v>
      </c>
      <c r="D12" s="982" t="s">
        <v>890</v>
      </c>
      <c r="E12" s="982" t="s">
        <v>891</v>
      </c>
      <c r="F12" s="982" t="s">
        <v>480</v>
      </c>
      <c r="G12" s="982" t="s">
        <v>1327</v>
      </c>
      <c r="H12" s="983" t="s">
        <v>1188</v>
      </c>
      <c r="I12" s="984" t="s">
        <v>1203</v>
      </c>
      <c r="J12" s="985">
        <v>733650</v>
      </c>
      <c r="K12" s="986">
        <v>65</v>
      </c>
      <c r="L12" s="986" t="str">
        <f t="shared" si="0"/>
        <v>è</v>
      </c>
      <c r="M12" s="986" t="s">
        <v>793</v>
      </c>
      <c r="N12" s="985">
        <v>328000</v>
      </c>
      <c r="O12" s="985">
        <f t="shared" si="1"/>
        <v>405650</v>
      </c>
      <c r="P12" s="985">
        <f t="shared" si="2"/>
        <v>81130</v>
      </c>
      <c r="Q12" s="985">
        <f t="shared" si="3"/>
        <v>814780</v>
      </c>
      <c r="R12" s="985">
        <f t="shared" si="4"/>
        <v>476872.5</v>
      </c>
      <c r="S12" s="985">
        <f t="shared" si="5"/>
        <v>52734.5</v>
      </c>
      <c r="T12" s="985">
        <f t="shared" si="6"/>
        <v>529607</v>
      </c>
      <c r="U12" s="985">
        <f t="shared" si="30"/>
        <v>264803.5</v>
      </c>
      <c r="V12" s="985">
        <f t="shared" si="31"/>
        <v>185362.44999999998</v>
      </c>
      <c r="W12" s="985">
        <f t="shared" si="32"/>
        <v>450165.95</v>
      </c>
      <c r="X12" s="985">
        <f t="shared" si="7"/>
        <v>79441.05</v>
      </c>
      <c r="Y12" s="985">
        <f t="shared" si="8"/>
        <v>256777.5</v>
      </c>
      <c r="Z12" s="985">
        <f t="shared" si="9"/>
        <v>285173</v>
      </c>
      <c r="AA12" s="1014" t="s">
        <v>794</v>
      </c>
      <c r="AB12" s="1015" t="s">
        <v>795</v>
      </c>
      <c r="AC12" s="1015" t="s">
        <v>892</v>
      </c>
      <c r="AD12" s="1016" t="s">
        <v>797</v>
      </c>
      <c r="AE12" s="1016" t="s">
        <v>798</v>
      </c>
      <c r="AF12" s="1016" t="s">
        <v>893</v>
      </c>
      <c r="AG12" s="1016" t="s">
        <v>894</v>
      </c>
      <c r="AH12" s="1016">
        <v>70126</v>
      </c>
      <c r="AI12" s="1032" t="s">
        <v>52</v>
      </c>
      <c r="AJ12" s="1018" t="s">
        <v>54</v>
      </c>
      <c r="AK12" s="1019">
        <v>57</v>
      </c>
      <c r="AL12" s="1019">
        <v>265</v>
      </c>
      <c r="AM12" s="567">
        <v>38177</v>
      </c>
      <c r="AN12" s="567">
        <v>38238</v>
      </c>
      <c r="AO12" s="980" t="s">
        <v>67</v>
      </c>
      <c r="AP12" s="980">
        <v>1681</v>
      </c>
      <c r="AQ12" s="1019">
        <v>29</v>
      </c>
      <c r="AR12" s="1019">
        <v>24</v>
      </c>
      <c r="AS12" s="1033" t="s">
        <v>1312</v>
      </c>
      <c r="AT12" s="1034" t="s">
        <v>1312</v>
      </c>
      <c r="AU12" s="861" t="s">
        <v>295</v>
      </c>
      <c r="AV12" s="1035">
        <v>38425</v>
      </c>
      <c r="AW12" s="1035">
        <v>38366</v>
      </c>
      <c r="AX12" s="1036">
        <v>38399</v>
      </c>
      <c r="AY12" s="1031" t="s">
        <v>1204</v>
      </c>
      <c r="AZ12" s="1031" t="s">
        <v>1207</v>
      </c>
      <c r="BA12" s="1031" t="s">
        <v>1205</v>
      </c>
      <c r="BB12" s="1031" t="s">
        <v>890</v>
      </c>
      <c r="BC12" s="1032" t="s">
        <v>1206</v>
      </c>
      <c r="BD12" s="1031" t="s">
        <v>369</v>
      </c>
      <c r="BE12" s="1031"/>
      <c r="BF12" s="1037" t="s">
        <v>1208</v>
      </c>
      <c r="BG12" s="1035">
        <v>38376</v>
      </c>
      <c r="BH12" s="1031" t="s">
        <v>105</v>
      </c>
      <c r="BI12" s="985">
        <v>158882</v>
      </c>
      <c r="BJ12" s="985">
        <f t="shared" si="34"/>
        <v>135049.69999999998</v>
      </c>
      <c r="BK12" s="996" t="s">
        <v>1104</v>
      </c>
      <c r="BL12" s="985">
        <f t="shared" si="10"/>
        <v>23832.3</v>
      </c>
      <c r="BM12" s="996" t="s">
        <v>1125</v>
      </c>
      <c r="BN12" s="985">
        <f t="shared" si="11"/>
        <v>55608.7</v>
      </c>
      <c r="BO12" s="985"/>
      <c r="BP12" s="985"/>
      <c r="BQ12" s="1019">
        <v>285</v>
      </c>
      <c r="BR12" s="567">
        <v>38425</v>
      </c>
      <c r="BS12" s="1016" t="s">
        <v>154</v>
      </c>
      <c r="BT12" s="998">
        <v>7259</v>
      </c>
      <c r="BU12" s="1005" t="s">
        <v>1061</v>
      </c>
      <c r="BV12" s="566">
        <v>38471</v>
      </c>
      <c r="BW12" s="1000">
        <f>135049.7+23832.3</f>
        <v>158882</v>
      </c>
      <c r="BX12" s="1001">
        <v>158882</v>
      </c>
      <c r="BY12" s="743">
        <v>81441.666</v>
      </c>
      <c r="BZ12" s="985">
        <f>(BY12*0.65)</f>
        <v>52937.0829</v>
      </c>
      <c r="CA12" s="985">
        <f>BZ12-(BZ12*0.375)</f>
        <v>33085.6768125</v>
      </c>
      <c r="CB12" s="985">
        <f t="shared" si="50"/>
        <v>28122.825290625</v>
      </c>
      <c r="CC12" s="985">
        <f t="shared" si="52"/>
        <v>4962.851521875</v>
      </c>
      <c r="CD12" s="985">
        <f t="shared" si="53"/>
        <v>11579.986884375</v>
      </c>
      <c r="CE12" s="985">
        <v>0</v>
      </c>
      <c r="CF12" s="985">
        <v>0</v>
      </c>
      <c r="CG12" s="1019">
        <v>1509</v>
      </c>
      <c r="CH12" s="567">
        <v>38561</v>
      </c>
      <c r="CI12" s="1038" t="s">
        <v>90</v>
      </c>
      <c r="CJ12" s="567">
        <v>38596</v>
      </c>
      <c r="CK12" s="861">
        <f>28122.83+4962.85</f>
        <v>33085.68</v>
      </c>
      <c r="CL12" s="861">
        <v>159971.7756</v>
      </c>
      <c r="CM12" s="985">
        <f>(CL12*0.65)</f>
        <v>103981.65414</v>
      </c>
      <c r="CN12" s="985">
        <f>CM12-(CM12*0.375)</f>
        <v>64988.5338375</v>
      </c>
      <c r="CO12" s="985">
        <f>CN12*0.85</f>
        <v>55240.253761875</v>
      </c>
      <c r="CP12" s="985">
        <f t="shared" si="51"/>
        <v>9748.280075625</v>
      </c>
      <c r="CQ12" s="985">
        <f>CN12*0.35</f>
        <v>22745.986843125</v>
      </c>
      <c r="CR12" s="861"/>
      <c r="CS12" s="861"/>
      <c r="CT12" s="1019">
        <v>1754</v>
      </c>
      <c r="CU12" s="567">
        <v>38670</v>
      </c>
      <c r="CV12" s="1038" t="s">
        <v>1324</v>
      </c>
      <c r="CW12" s="567">
        <v>38698</v>
      </c>
      <c r="CX12" s="861">
        <f>55240.25+9748.28</f>
        <v>64988.53</v>
      </c>
      <c r="CY12" s="861">
        <v>146995.8464</v>
      </c>
      <c r="CZ12" s="985">
        <f>(CY12*0.65)</f>
        <v>95547.30016000001</v>
      </c>
      <c r="DA12" s="985">
        <f t="shared" si="54"/>
        <v>59717.062600000005</v>
      </c>
      <c r="DB12" s="985">
        <f t="shared" si="55"/>
        <v>50759.50321</v>
      </c>
      <c r="DC12" s="985">
        <f t="shared" si="56"/>
        <v>8957.55939</v>
      </c>
      <c r="DD12" s="985">
        <f t="shared" si="57"/>
        <v>20900.97191</v>
      </c>
      <c r="DE12" s="409">
        <v>0</v>
      </c>
      <c r="DF12" s="409">
        <v>0</v>
      </c>
      <c r="DG12" s="1003" t="s">
        <v>1325</v>
      </c>
      <c r="DH12" s="567">
        <v>38847</v>
      </c>
      <c r="DI12" s="1002" t="s">
        <v>1335</v>
      </c>
      <c r="DJ12" s="567">
        <v>38882</v>
      </c>
      <c r="DK12" s="743">
        <f>50759.5+8957.56</f>
        <v>59717.06</v>
      </c>
      <c r="DL12" s="861">
        <v>149632.28</v>
      </c>
      <c r="DM12" s="985">
        <f>(DL12*0.65)</f>
        <v>97260.982</v>
      </c>
      <c r="DN12" s="985">
        <f t="shared" si="58"/>
        <v>60788.113750000004</v>
      </c>
      <c r="DO12" s="985">
        <f aca="true" t="shared" si="61" ref="DO12:DO17">DN12*0.85</f>
        <v>51669.896687500004</v>
      </c>
      <c r="DP12" s="985">
        <f t="shared" si="59"/>
        <v>9118.2170625</v>
      </c>
      <c r="DQ12" s="985">
        <f t="shared" si="60"/>
        <v>21275.8398125</v>
      </c>
      <c r="DR12" s="985">
        <v>0</v>
      </c>
      <c r="DS12" s="985">
        <v>0</v>
      </c>
      <c r="DT12" s="1003" t="s">
        <v>307</v>
      </c>
      <c r="DU12" s="567">
        <v>38923</v>
      </c>
      <c r="DV12" s="1005" t="s">
        <v>1349</v>
      </c>
      <c r="DW12" s="566">
        <v>38972</v>
      </c>
      <c r="DX12" s="861">
        <f>51669.9+9118.21</f>
        <v>60788.11</v>
      </c>
      <c r="DY12" s="861">
        <v>103016.31</v>
      </c>
      <c r="DZ12" s="985">
        <f>(DY12*0.65)</f>
        <v>66960.6015</v>
      </c>
      <c r="EA12" s="985">
        <v>39226.23</v>
      </c>
      <c r="EB12" s="985">
        <f t="shared" si="18"/>
        <v>33342.2955</v>
      </c>
      <c r="EC12" s="985">
        <f>EA12*0.15</f>
        <v>5883.9345</v>
      </c>
      <c r="ED12" s="985">
        <f t="shared" si="20"/>
        <v>13729.1805</v>
      </c>
      <c r="EE12" s="985">
        <v>0</v>
      </c>
      <c r="EF12" s="985">
        <v>0</v>
      </c>
      <c r="EG12" s="1019">
        <v>16</v>
      </c>
      <c r="EH12" s="567">
        <v>39112</v>
      </c>
      <c r="EI12" s="1005" t="s">
        <v>1394</v>
      </c>
      <c r="EJ12" s="566">
        <v>39129</v>
      </c>
      <c r="EK12" s="861">
        <f>33342.3+5883.93</f>
        <v>39226.23</v>
      </c>
      <c r="EL12" s="861">
        <v>100791.55</v>
      </c>
      <c r="EM12" s="985">
        <f>(EL12*0.65)</f>
        <v>65514.50750000001</v>
      </c>
      <c r="EN12" s="985">
        <f>+EM12</f>
        <v>65514.50750000001</v>
      </c>
      <c r="EO12" s="985">
        <f>EN12*0.85</f>
        <v>55687.331375</v>
      </c>
      <c r="EP12" s="985">
        <f>EN12*0.15</f>
        <v>9827.176125</v>
      </c>
      <c r="EQ12" s="985">
        <f>EN12*0.35</f>
        <v>22930.077625</v>
      </c>
      <c r="ER12" s="985">
        <v>0</v>
      </c>
      <c r="ES12" s="985">
        <v>0</v>
      </c>
      <c r="ET12" s="1019">
        <v>75</v>
      </c>
      <c r="EU12" s="567">
        <v>39511</v>
      </c>
      <c r="EV12" s="1029" t="s">
        <v>403</v>
      </c>
      <c r="EW12" s="567"/>
      <c r="EX12" s="861">
        <f>+EN12</f>
        <v>65514.50750000001</v>
      </c>
      <c r="EY12" s="861"/>
      <c r="EZ12" s="861"/>
      <c r="FA12" s="861"/>
      <c r="FB12" s="861"/>
      <c r="FC12" s="861"/>
      <c r="FD12" s="861"/>
      <c r="FE12" s="861"/>
      <c r="FF12" s="861"/>
      <c r="FG12" s="861"/>
      <c r="FH12" s="861"/>
      <c r="FI12" s="861"/>
      <c r="FJ12" s="861"/>
      <c r="FK12" s="847">
        <f t="shared" si="37"/>
        <v>0</v>
      </c>
      <c r="FL12" s="861"/>
      <c r="FM12" s="861"/>
      <c r="FN12" s="861"/>
      <c r="FO12" s="861"/>
      <c r="FP12" s="861"/>
      <c r="FQ12" s="861"/>
      <c r="FR12" s="861"/>
      <c r="FS12" s="861"/>
      <c r="FT12" s="861"/>
      <c r="FU12" s="861"/>
      <c r="FV12" s="861"/>
      <c r="FW12" s="861"/>
      <c r="FX12" s="861"/>
      <c r="FY12" s="861"/>
      <c r="FZ12" s="861"/>
      <c r="GA12" s="861"/>
      <c r="GB12" s="861"/>
      <c r="GC12" s="861"/>
      <c r="GD12" s="861"/>
      <c r="GE12" s="861"/>
      <c r="GF12" s="861"/>
      <c r="GG12" s="861"/>
      <c r="GH12" s="861"/>
      <c r="GI12" s="861"/>
      <c r="GJ12" s="861"/>
      <c r="GK12" s="861"/>
      <c r="GL12" s="861"/>
      <c r="GM12" s="861"/>
      <c r="GN12" s="861"/>
      <c r="GO12" s="861"/>
      <c r="GP12" s="861"/>
      <c r="GQ12" s="861"/>
      <c r="GR12" s="861"/>
      <c r="GS12" s="861"/>
      <c r="GT12" s="861"/>
      <c r="GU12" s="861"/>
      <c r="GV12" s="861"/>
      <c r="GW12" s="861"/>
      <c r="GX12" s="861"/>
      <c r="GY12" s="1010"/>
      <c r="GZ12" s="1009">
        <f t="shared" si="38"/>
        <v>482202.1282</v>
      </c>
      <c r="HA12" s="1008">
        <f t="shared" si="39"/>
        <v>323320.11750000005</v>
      </c>
      <c r="HB12" s="567">
        <v>38376</v>
      </c>
      <c r="HC12" s="1019">
        <f>18+6+2</f>
        <v>26</v>
      </c>
      <c r="HD12" s="1011">
        <f t="shared" si="46"/>
        <v>2.1666666666666665</v>
      </c>
      <c r="HE12" s="569">
        <f t="shared" si="40"/>
        <v>39166.833333333336</v>
      </c>
      <c r="HF12" s="1008">
        <f t="shared" si="41"/>
        <v>482202.1282</v>
      </c>
      <c r="HG12" s="1012">
        <v>4</v>
      </c>
      <c r="HH12" s="1008">
        <f t="shared" si="48"/>
        <v>120550.53205</v>
      </c>
      <c r="HI12" s="1008">
        <f t="shared" si="49"/>
        <v>180825.798075</v>
      </c>
      <c r="HJ12" s="743">
        <f>(T12*0.5)/HD12+BI12</f>
        <v>281099</v>
      </c>
      <c r="HK12" s="743">
        <f>(T12*0.2)</f>
        <v>105921.40000000001</v>
      </c>
      <c r="HL12" s="743"/>
      <c r="HN12" s="861"/>
      <c r="HO12" s="1013">
        <f>+GL12+FY12+FL12+EY12+EL12+DY12+DL12+CY12+CL12+BY12</f>
        <v>741849.4280000001</v>
      </c>
      <c r="HP12" s="1013">
        <f>+GM12+FZ12+FM12+EZ12+EM12+DZ12+DM12+CZ12+CM12+BZ12</f>
        <v>482202.1282</v>
      </c>
      <c r="HQ12" s="1013">
        <f>+HP12*0.5</f>
        <v>241101.0641</v>
      </c>
      <c r="HR12" s="1013">
        <f>+HP12*0.35</f>
        <v>168770.74487</v>
      </c>
      <c r="HS12" s="1013">
        <f>+HR12+HQ12</f>
        <v>409871.80897</v>
      </c>
      <c r="HT12" s="1013">
        <f>+HP12*0.15</f>
        <v>72330.31923</v>
      </c>
      <c r="HU12" s="1013">
        <f>+HO12-HP12</f>
        <v>259647.2998000001</v>
      </c>
    </row>
    <row r="13" spans="1:229" s="995" customFormat="1" ht="12" customHeight="1">
      <c r="A13" s="979">
        <v>11</v>
      </c>
      <c r="B13" s="980" t="e">
        <f>IF(#REF!&gt;0,"si","no")</f>
        <v>#REF!</v>
      </c>
      <c r="C13" s="981">
        <v>27</v>
      </c>
      <c r="D13" s="982" t="s">
        <v>1096</v>
      </c>
      <c r="E13" s="982" t="s">
        <v>855</v>
      </c>
      <c r="F13" s="982" t="s">
        <v>480</v>
      </c>
      <c r="G13" s="982" t="s">
        <v>34</v>
      </c>
      <c r="H13" s="983" t="s">
        <v>1056</v>
      </c>
      <c r="I13" s="984" t="s">
        <v>1094</v>
      </c>
      <c r="J13" s="985">
        <v>793500</v>
      </c>
      <c r="K13" s="986">
        <v>50</v>
      </c>
      <c r="L13" s="986" t="str">
        <f t="shared" si="0"/>
        <v>non è</v>
      </c>
      <c r="M13" s="986" t="s">
        <v>809</v>
      </c>
      <c r="N13" s="985">
        <v>123500</v>
      </c>
      <c r="O13" s="985">
        <f t="shared" si="1"/>
        <v>670000</v>
      </c>
      <c r="P13" s="985">
        <f t="shared" si="2"/>
        <v>134000</v>
      </c>
      <c r="Q13" s="985">
        <f t="shared" si="3"/>
        <v>927500</v>
      </c>
      <c r="R13" s="985">
        <f t="shared" si="4"/>
        <v>396750</v>
      </c>
      <c r="S13" s="985">
        <f t="shared" si="5"/>
        <v>67000</v>
      </c>
      <c r="T13" s="985">
        <f t="shared" si="6"/>
        <v>463750</v>
      </c>
      <c r="U13" s="985">
        <f t="shared" si="30"/>
        <v>231875</v>
      </c>
      <c r="V13" s="985">
        <f t="shared" si="31"/>
        <v>162312.5</v>
      </c>
      <c r="W13" s="985">
        <f t="shared" si="32"/>
        <v>394187.5</v>
      </c>
      <c r="X13" s="985">
        <f t="shared" si="7"/>
        <v>69562.5</v>
      </c>
      <c r="Y13" s="985">
        <f t="shared" si="8"/>
        <v>396750</v>
      </c>
      <c r="Z13" s="985">
        <f t="shared" si="9"/>
        <v>463750</v>
      </c>
      <c r="AA13" s="987" t="s">
        <v>794</v>
      </c>
      <c r="AB13" s="988" t="s">
        <v>795</v>
      </c>
      <c r="AC13" s="989" t="s">
        <v>856</v>
      </c>
      <c r="AD13" s="979" t="s">
        <v>797</v>
      </c>
      <c r="AE13" s="979" t="s">
        <v>798</v>
      </c>
      <c r="AF13" s="979" t="s">
        <v>1057</v>
      </c>
      <c r="AG13" s="979">
        <v>5</v>
      </c>
      <c r="AH13" s="979">
        <v>70125</v>
      </c>
      <c r="AI13" s="989" t="s">
        <v>1020</v>
      </c>
      <c r="AJ13" s="990" t="s">
        <v>49</v>
      </c>
      <c r="AK13" s="986">
        <v>66</v>
      </c>
      <c r="AL13" s="986">
        <v>269</v>
      </c>
      <c r="AM13" s="569">
        <v>38177</v>
      </c>
      <c r="AN13" s="569">
        <v>38238</v>
      </c>
      <c r="AO13" s="980" t="s">
        <v>66</v>
      </c>
      <c r="AP13" s="980">
        <v>1680</v>
      </c>
      <c r="AQ13" s="986">
        <v>33</v>
      </c>
      <c r="AR13" s="986">
        <v>28</v>
      </c>
      <c r="AS13" s="991" t="s">
        <v>188</v>
      </c>
      <c r="AT13" s="992" t="s">
        <v>1023</v>
      </c>
      <c r="AU13" s="848" t="s">
        <v>295</v>
      </c>
      <c r="AV13" s="993">
        <v>38284</v>
      </c>
      <c r="AW13" s="993">
        <v>38294</v>
      </c>
      <c r="AX13" s="994">
        <v>38315</v>
      </c>
      <c r="AY13" s="995" t="s">
        <v>8</v>
      </c>
      <c r="AZ13" s="995" t="s">
        <v>12</v>
      </c>
      <c r="BA13" s="995" t="s">
        <v>11</v>
      </c>
      <c r="BB13" s="995" t="s">
        <v>1096</v>
      </c>
      <c r="BC13" s="989" t="s">
        <v>9</v>
      </c>
      <c r="BD13" s="995" t="s">
        <v>10</v>
      </c>
      <c r="BF13" s="990" t="s">
        <v>1099</v>
      </c>
      <c r="BG13" s="993">
        <v>38313</v>
      </c>
      <c r="BH13" s="995" t="s">
        <v>1098</v>
      </c>
      <c r="BI13" s="985">
        <v>119000</v>
      </c>
      <c r="BJ13" s="985">
        <f t="shared" si="34"/>
        <v>101150</v>
      </c>
      <c r="BK13" s="996" t="s">
        <v>1104</v>
      </c>
      <c r="BL13" s="985">
        <f>BI13*0.15</f>
        <v>17850</v>
      </c>
      <c r="BM13" s="996" t="s">
        <v>1104</v>
      </c>
      <c r="BN13" s="985">
        <f t="shared" si="11"/>
        <v>41650</v>
      </c>
      <c r="BO13" s="985">
        <f>+BN13*0.04</f>
        <v>1666</v>
      </c>
      <c r="BP13" s="985">
        <f>+BL13*0.04</f>
        <v>714</v>
      </c>
      <c r="BQ13" s="997">
        <v>641</v>
      </c>
      <c r="BR13" s="568">
        <v>38320</v>
      </c>
      <c r="BS13" s="979" t="s">
        <v>295</v>
      </c>
      <c r="BT13" s="998">
        <v>5382</v>
      </c>
      <c r="BU13" s="999" t="s">
        <v>1167</v>
      </c>
      <c r="BV13" s="566">
        <v>38336</v>
      </c>
      <c r="BW13" s="1000">
        <f>101150+17850</f>
        <v>119000</v>
      </c>
      <c r="BX13" s="1001">
        <f>101150+17850</f>
        <v>119000</v>
      </c>
      <c r="BY13" s="743">
        <v>20265.39</v>
      </c>
      <c r="BZ13" s="985">
        <f>(BY13*0.5)</f>
        <v>10132.695</v>
      </c>
      <c r="CA13" s="985">
        <f>BZ13-(BZ13*0.375)+0.01</f>
        <v>6332.944375</v>
      </c>
      <c r="CB13" s="985">
        <f t="shared" si="50"/>
        <v>5383.00271875</v>
      </c>
      <c r="CC13" s="985">
        <f t="shared" si="52"/>
        <v>949.9416562499999</v>
      </c>
      <c r="CD13" s="985">
        <f t="shared" si="53"/>
        <v>2216.53053125</v>
      </c>
      <c r="CE13" s="985">
        <f>CD13*0.04</f>
        <v>88.66122125</v>
      </c>
      <c r="CF13" s="985">
        <f>CC13*0.04</f>
        <v>37.99766625</v>
      </c>
      <c r="CG13" s="998">
        <v>1403</v>
      </c>
      <c r="CH13" s="566">
        <v>38537</v>
      </c>
      <c r="CI13" s="1002" t="s">
        <v>1228</v>
      </c>
      <c r="CJ13" s="566">
        <v>38566</v>
      </c>
      <c r="CK13" s="743">
        <f>5383+949.94</f>
        <v>6332.9400000000005</v>
      </c>
      <c r="CL13" s="743">
        <v>63415.1</v>
      </c>
      <c r="CM13" s="985">
        <f>(CL13*0.5)</f>
        <v>31707.55</v>
      </c>
      <c r="CN13" s="985">
        <f>CM13-(CM13*0.375)+0.01</f>
        <v>19817.22875</v>
      </c>
      <c r="CO13" s="985">
        <f>CN13*0.85</f>
        <v>16844.6444375</v>
      </c>
      <c r="CP13" s="985">
        <f t="shared" si="51"/>
        <v>2972.5843124999997</v>
      </c>
      <c r="CQ13" s="985">
        <f>CN13*0.35</f>
        <v>6936.030062499999</v>
      </c>
      <c r="CR13" s="985">
        <f>CQ13*0.04</f>
        <v>277.4412025</v>
      </c>
      <c r="CS13" s="985">
        <f>CP13*0.04</f>
        <v>118.90337249999999</v>
      </c>
      <c r="CT13" s="998">
        <v>1634</v>
      </c>
      <c r="CU13" s="566">
        <v>38638</v>
      </c>
      <c r="CV13" s="1002" t="s">
        <v>1299</v>
      </c>
      <c r="CW13" s="566">
        <v>38653</v>
      </c>
      <c r="CX13" s="743">
        <v>19817.23</v>
      </c>
      <c r="CY13" s="743">
        <v>91742.76</v>
      </c>
      <c r="CZ13" s="985">
        <f>(CY13*0.5)</f>
        <v>45871.38</v>
      </c>
      <c r="DA13" s="985">
        <f t="shared" si="54"/>
        <v>28669.6125</v>
      </c>
      <c r="DB13" s="985">
        <f t="shared" si="55"/>
        <v>24369.170625</v>
      </c>
      <c r="DC13" s="985">
        <f t="shared" si="56"/>
        <v>4300.4418749999995</v>
      </c>
      <c r="DD13" s="985">
        <f t="shared" si="57"/>
        <v>10034.364375</v>
      </c>
      <c r="DE13" s="985">
        <f>DD13*0.04</f>
        <v>401.374575</v>
      </c>
      <c r="DF13" s="985">
        <f>DC13*0.04</f>
        <v>172.017675</v>
      </c>
      <c r="DG13" s="1003" t="s">
        <v>1326</v>
      </c>
      <c r="DH13" s="566">
        <v>38847</v>
      </c>
      <c r="DI13" s="1002" t="s">
        <v>1338</v>
      </c>
      <c r="DJ13" s="566">
        <v>38884</v>
      </c>
      <c r="DK13" s="743">
        <f>24369.17+4300.44</f>
        <v>28669.609999999997</v>
      </c>
      <c r="DL13" s="743">
        <v>154443.38</v>
      </c>
      <c r="DM13" s="985">
        <f>(DL13*0.5)</f>
        <v>77221.69</v>
      </c>
      <c r="DN13" s="985">
        <f t="shared" si="58"/>
        <v>48263.55625</v>
      </c>
      <c r="DO13" s="985">
        <f t="shared" si="61"/>
        <v>41024.0228125</v>
      </c>
      <c r="DP13" s="985">
        <f t="shared" si="59"/>
        <v>7239.5334375</v>
      </c>
      <c r="DQ13" s="985">
        <f t="shared" si="60"/>
        <v>16892.2446875</v>
      </c>
      <c r="DR13" s="985">
        <f>DQ13*0.04</f>
        <v>675.6897875</v>
      </c>
      <c r="DS13" s="985">
        <f>DP13*0.04</f>
        <v>289.5813375</v>
      </c>
      <c r="DT13" s="1004" t="s">
        <v>306</v>
      </c>
      <c r="DU13" s="566">
        <v>38923</v>
      </c>
      <c r="DV13" s="1005" t="s">
        <v>1348</v>
      </c>
      <c r="DW13" s="566">
        <v>38972</v>
      </c>
      <c r="DX13" s="867">
        <f>41024.03+7239.53</f>
        <v>48263.56</v>
      </c>
      <c r="DY13" s="743">
        <v>126916.67</v>
      </c>
      <c r="DZ13" s="985">
        <f>(DY13*0.5)</f>
        <v>63458.335</v>
      </c>
      <c r="EA13" s="985">
        <f>DZ13-(DZ13*0.375)</f>
        <v>39661.459375</v>
      </c>
      <c r="EB13" s="985">
        <f t="shared" si="18"/>
        <v>33712.240468749995</v>
      </c>
      <c r="EC13" s="985">
        <f>EA13*0.15</f>
        <v>5949.218906249999</v>
      </c>
      <c r="ED13" s="985">
        <f t="shared" si="20"/>
        <v>13881.51078125</v>
      </c>
      <c r="EE13" s="985">
        <f>ED13*0.04</f>
        <v>555.26043125</v>
      </c>
      <c r="EF13" s="985">
        <f>EC13*0.04</f>
        <v>237.96875624999998</v>
      </c>
      <c r="EG13" s="1004" t="s">
        <v>1374</v>
      </c>
      <c r="EH13" s="566">
        <v>39027</v>
      </c>
      <c r="EI13" s="1002" t="s">
        <v>1382</v>
      </c>
      <c r="EJ13" s="566">
        <v>39042</v>
      </c>
      <c r="EK13" s="743">
        <f>EA13</f>
        <v>39661.459375</v>
      </c>
      <c r="EL13" s="743">
        <v>124045.02</v>
      </c>
      <c r="EM13" s="985">
        <f>(EL13*0.5)</f>
        <v>62022.51</v>
      </c>
      <c r="EN13" s="985">
        <f>EM13-(EM13*0.375)</f>
        <v>38764.068750000006</v>
      </c>
      <c r="EO13" s="985">
        <f>EN13*0.85</f>
        <v>32949.458437500005</v>
      </c>
      <c r="EP13" s="985">
        <f>EN13*0.15</f>
        <v>5814.610312500001</v>
      </c>
      <c r="EQ13" s="985">
        <f>EN13*0.35</f>
        <v>13567.424062500002</v>
      </c>
      <c r="ER13" s="985">
        <f>EQ13*0.04</f>
        <v>542.6969625</v>
      </c>
      <c r="ES13" s="985">
        <f>EP13*0.04</f>
        <v>232.58441250000004</v>
      </c>
      <c r="ET13" s="998">
        <v>32</v>
      </c>
      <c r="EU13" s="566">
        <v>39128</v>
      </c>
      <c r="EV13" s="999" t="s">
        <v>1398</v>
      </c>
      <c r="EW13" s="566">
        <v>39155</v>
      </c>
      <c r="EX13" s="743">
        <f>32949.46+5814.61</f>
        <v>38764.07</v>
      </c>
      <c r="EY13" s="743">
        <f>(10094.69+16891.15)*2</f>
        <v>53971.68000000001</v>
      </c>
      <c r="EZ13" s="985">
        <f>(EY13*0.5)</f>
        <v>26985.840000000004</v>
      </c>
      <c r="FA13" s="985">
        <v>16891.15</v>
      </c>
      <c r="FB13" s="985">
        <f>FA13*0.85</f>
        <v>14357.4775</v>
      </c>
      <c r="FC13" s="985">
        <f>FA13*0.15</f>
        <v>2533.6725</v>
      </c>
      <c r="FD13" s="985">
        <f>FA13*0.35</f>
        <v>5911.9025</v>
      </c>
      <c r="FE13" s="985">
        <f>FD13*0.04</f>
        <v>236.4761</v>
      </c>
      <c r="FF13" s="985">
        <f>FC13*0.04</f>
        <v>101.3469</v>
      </c>
      <c r="FG13" s="998">
        <v>250</v>
      </c>
      <c r="FH13" s="1006">
        <v>39324</v>
      </c>
      <c r="FI13" s="1007" t="s">
        <v>1409</v>
      </c>
      <c r="FJ13" s="1006">
        <v>39344</v>
      </c>
      <c r="FK13" s="743">
        <f>+FA13</f>
        <v>16891.15</v>
      </c>
      <c r="FL13" s="743">
        <f>59512.5*2</f>
        <v>119025</v>
      </c>
      <c r="FM13" s="985">
        <f>(FL13*0.5)</f>
        <v>59512.5</v>
      </c>
      <c r="FN13" s="985">
        <f>+FM13</f>
        <v>59512.5</v>
      </c>
      <c r="FO13" s="985">
        <f>FN13*0.85</f>
        <v>50585.625</v>
      </c>
      <c r="FP13" s="985">
        <f>FN13*0.15</f>
        <v>8926.875</v>
      </c>
      <c r="FQ13" s="985">
        <f>FN13*0.35</f>
        <v>20829.375</v>
      </c>
      <c r="FR13" s="985">
        <f>FQ13*0.04</f>
        <v>833.1750000000001</v>
      </c>
      <c r="FS13" s="985">
        <f>FP13*0.04</f>
        <v>357.075</v>
      </c>
      <c r="FT13" s="539">
        <v>390</v>
      </c>
      <c r="FU13" s="893">
        <v>39721</v>
      </c>
      <c r="FV13" s="708" t="s">
        <v>403</v>
      </c>
      <c r="FW13" s="743"/>
      <c r="FX13" s="743"/>
      <c r="FY13" s="743">
        <f>31037.94*2</f>
        <v>62075.88</v>
      </c>
      <c r="FZ13" s="985">
        <f>(FY13*0.5)</f>
        <v>31037.94</v>
      </c>
      <c r="GA13" s="985">
        <f>+FZ13</f>
        <v>31037.94</v>
      </c>
      <c r="GB13" s="985">
        <f>GA13*0.85</f>
        <v>26382.249</v>
      </c>
      <c r="GC13" s="985">
        <f>GA13*0.15</f>
        <v>4655.691</v>
      </c>
      <c r="GD13" s="985">
        <f>GA13*0.35</f>
        <v>10863.278999999999</v>
      </c>
      <c r="GE13" s="985">
        <f>GD13*0.04</f>
        <v>434.53115999999994</v>
      </c>
      <c r="GF13" s="985">
        <f>GC13*0.04</f>
        <v>186.22764</v>
      </c>
      <c r="GG13" s="539">
        <v>574</v>
      </c>
      <c r="GH13" s="445">
        <v>39773</v>
      </c>
      <c r="GI13" s="543" t="s">
        <v>233</v>
      </c>
      <c r="GJ13" s="1171">
        <v>39801</v>
      </c>
      <c r="GK13" s="743"/>
      <c r="GL13" s="743"/>
      <c r="GM13" s="743"/>
      <c r="GN13" s="743"/>
      <c r="GO13" s="743"/>
      <c r="GP13" s="743"/>
      <c r="GQ13" s="743"/>
      <c r="GR13" s="743"/>
      <c r="GS13" s="743"/>
      <c r="GT13" s="743"/>
      <c r="GU13" s="743"/>
      <c r="GV13" s="743"/>
      <c r="GW13" s="743"/>
      <c r="GX13" s="743"/>
      <c r="GY13" s="1010"/>
      <c r="GZ13" s="1009">
        <f t="shared" si="38"/>
        <v>290414.16000000003</v>
      </c>
      <c r="HA13" s="1008">
        <f t="shared" si="39"/>
        <v>181508.869375</v>
      </c>
      <c r="HB13" s="568">
        <v>38314</v>
      </c>
      <c r="HC13" s="997">
        <v>30</v>
      </c>
      <c r="HD13" s="1011">
        <f t="shared" si="46"/>
        <v>2.5</v>
      </c>
      <c r="HE13" s="569">
        <f t="shared" si="40"/>
        <v>39226.5</v>
      </c>
      <c r="HF13" s="1008">
        <f t="shared" si="41"/>
        <v>290414.16000000003</v>
      </c>
      <c r="HG13" s="1012">
        <v>4</v>
      </c>
      <c r="HH13" s="1008">
        <f t="shared" si="48"/>
        <v>72603.54000000001</v>
      </c>
      <c r="HI13" s="1008">
        <f t="shared" si="49"/>
        <v>108905.31000000001</v>
      </c>
      <c r="HJ13" s="743">
        <f>(T13*0.5)/HD13</f>
        <v>92750</v>
      </c>
      <c r="HK13" s="743">
        <f>(T13*0.5)/HD13</f>
        <v>92750</v>
      </c>
      <c r="HL13" s="743">
        <f>(T13*0.2)</f>
        <v>92750</v>
      </c>
      <c r="HN13" s="847"/>
      <c r="HO13" s="1013">
        <f aca="true" t="shared" si="62" ref="HO13:HO26">+GL13+FY13+FL13+EY13+EL13+DY13+DL13+CY13+CL13+BY13</f>
        <v>815900.88</v>
      </c>
      <c r="HP13" s="1013">
        <f aca="true" t="shared" si="63" ref="HP13:HP26">+GM13+FZ13+FM13+EZ13+EM13+DZ13+DM13+CZ13+CM13+BZ13</f>
        <v>407950.44</v>
      </c>
      <c r="HQ13" s="1013">
        <f aca="true" t="shared" si="64" ref="HQ13:HQ26">+HP13*0.5</f>
        <v>203975.22</v>
      </c>
      <c r="HR13" s="1013">
        <f aca="true" t="shared" si="65" ref="HR13:HR26">+HP13*0.35</f>
        <v>142782.65399999998</v>
      </c>
      <c r="HS13" s="1013">
        <f aca="true" t="shared" si="66" ref="HS13:HS26">+HR13+HQ13</f>
        <v>346757.87399999995</v>
      </c>
      <c r="HT13" s="1013">
        <f aca="true" t="shared" si="67" ref="HT13:HT26">+HP13*0.15</f>
        <v>61192.566</v>
      </c>
      <c r="HU13" s="1013">
        <f aca="true" t="shared" si="68" ref="HU13:HU26">+HO13-HP13</f>
        <v>407950.44</v>
      </c>
    </row>
    <row r="14" spans="1:229" s="155" customFormat="1" ht="12" customHeight="1">
      <c r="A14" s="405">
        <v>12</v>
      </c>
      <c r="B14" s="406" t="e">
        <f>IF(#REF!&gt;0,"si","no")</f>
        <v>#REF!</v>
      </c>
      <c r="C14" s="407">
        <v>28</v>
      </c>
      <c r="D14" s="477" t="s">
        <v>826</v>
      </c>
      <c r="E14" s="522" t="s">
        <v>747</v>
      </c>
      <c r="F14" s="477" t="s">
        <v>480</v>
      </c>
      <c r="G14" s="477" t="s">
        <v>223</v>
      </c>
      <c r="H14" s="820" t="s">
        <v>1179</v>
      </c>
      <c r="I14" s="526" t="s">
        <v>1100</v>
      </c>
      <c r="J14" s="411">
        <v>3842070</v>
      </c>
      <c r="K14" s="410">
        <v>65</v>
      </c>
      <c r="L14" s="410" t="str">
        <f t="shared" si="0"/>
        <v>è</v>
      </c>
      <c r="M14" s="410" t="s">
        <v>793</v>
      </c>
      <c r="N14" s="409">
        <v>2688633</v>
      </c>
      <c r="O14" s="409">
        <f t="shared" si="1"/>
        <v>1153437</v>
      </c>
      <c r="P14" s="409">
        <f t="shared" si="2"/>
        <v>230687.40000000002</v>
      </c>
      <c r="Q14" s="411">
        <f t="shared" si="3"/>
        <v>4072757.4</v>
      </c>
      <c r="R14" s="411">
        <f t="shared" si="4"/>
        <v>2497345.5</v>
      </c>
      <c r="S14" s="409">
        <f t="shared" si="5"/>
        <v>149946.81000000003</v>
      </c>
      <c r="T14" s="411">
        <f t="shared" si="6"/>
        <v>2500000</v>
      </c>
      <c r="U14" s="411">
        <f t="shared" si="30"/>
        <v>1250000</v>
      </c>
      <c r="V14" s="411">
        <f t="shared" si="31"/>
        <v>875000</v>
      </c>
      <c r="W14" s="409">
        <f t="shared" si="32"/>
        <v>2125000</v>
      </c>
      <c r="X14" s="411">
        <f t="shared" si="7"/>
        <v>375000</v>
      </c>
      <c r="Y14" s="411">
        <f t="shared" si="8"/>
        <v>1344724.5</v>
      </c>
      <c r="Z14" s="411">
        <f t="shared" si="9"/>
        <v>1572757.4</v>
      </c>
      <c r="AA14" s="412" t="s">
        <v>794</v>
      </c>
      <c r="AB14" s="426" t="s">
        <v>827</v>
      </c>
      <c r="AC14" s="413" t="s">
        <v>828</v>
      </c>
      <c r="AD14" s="213" t="s">
        <v>797</v>
      </c>
      <c r="AE14" s="213" t="s">
        <v>798</v>
      </c>
      <c r="AF14" s="213" t="s">
        <v>1356</v>
      </c>
      <c r="AG14" s="427" t="s">
        <v>1295</v>
      </c>
      <c r="AH14" s="213">
        <v>70125</v>
      </c>
      <c r="AI14" s="213">
        <v>80026120727</v>
      </c>
      <c r="AJ14" s="414" t="s">
        <v>1102</v>
      </c>
      <c r="AK14" s="415">
        <v>81</v>
      </c>
      <c r="AL14" s="415">
        <v>204</v>
      </c>
      <c r="AM14" s="412" t="s">
        <v>999</v>
      </c>
      <c r="AN14" s="416">
        <v>38191</v>
      </c>
      <c r="AO14" s="406" t="s">
        <v>1014</v>
      </c>
      <c r="AP14" s="406">
        <v>1648</v>
      </c>
      <c r="AQ14" s="417">
        <v>11</v>
      </c>
      <c r="AR14" s="417">
        <v>10</v>
      </c>
      <c r="AS14" s="677" t="s">
        <v>1296</v>
      </c>
      <c r="AT14" s="677" t="s">
        <v>758</v>
      </c>
      <c r="AU14" s="470" t="s">
        <v>295</v>
      </c>
      <c r="AV14" s="471">
        <v>38308</v>
      </c>
      <c r="AW14" s="471">
        <v>38285</v>
      </c>
      <c r="AX14" s="709">
        <v>38316</v>
      </c>
      <c r="AY14" s="155" t="s">
        <v>1082</v>
      </c>
      <c r="AZ14" s="155" t="s">
        <v>1083</v>
      </c>
      <c r="BA14" s="155" t="s">
        <v>797</v>
      </c>
      <c r="BB14" s="155" t="s">
        <v>1313</v>
      </c>
      <c r="BC14" s="857" t="s">
        <v>1402</v>
      </c>
      <c r="BD14" s="155" t="s">
        <v>1084</v>
      </c>
      <c r="BE14" s="155" t="s">
        <v>1456</v>
      </c>
      <c r="BF14" s="853" t="s">
        <v>1144</v>
      </c>
      <c r="BG14" s="471">
        <v>38317</v>
      </c>
      <c r="BH14" s="155" t="s">
        <v>1145</v>
      </c>
      <c r="BI14" s="411">
        <v>749203.5</v>
      </c>
      <c r="BJ14" s="411">
        <f t="shared" si="34"/>
        <v>636822.975</v>
      </c>
      <c r="BK14" s="479" t="s">
        <v>1146</v>
      </c>
      <c r="BL14" s="411">
        <f t="shared" si="43"/>
        <v>112380.525</v>
      </c>
      <c r="BM14" s="479" t="s">
        <v>1104</v>
      </c>
      <c r="BN14" s="411">
        <f t="shared" si="11"/>
        <v>262221.225</v>
      </c>
      <c r="BO14" s="411"/>
      <c r="BP14" s="411"/>
      <c r="BQ14" s="539">
        <v>665</v>
      </c>
      <c r="BR14" s="416">
        <v>38330</v>
      </c>
      <c r="BS14" s="405" t="s">
        <v>154</v>
      </c>
      <c r="BT14" s="711" t="s">
        <v>394</v>
      </c>
      <c r="BU14" s="838" t="s">
        <v>351</v>
      </c>
      <c r="BV14" s="435">
        <v>38341</v>
      </c>
      <c r="BW14" s="430">
        <f>636822.98+112380.53</f>
        <v>749203.51</v>
      </c>
      <c r="BX14" s="878">
        <f>636822.98+112380.53</f>
        <v>749203.51</v>
      </c>
      <c r="BY14" s="542">
        <v>241550.03</v>
      </c>
      <c r="BZ14" s="409">
        <f aca="true" t="shared" si="69" ref="BZ14:BZ20">(BY14*0.65)</f>
        <v>157007.5195</v>
      </c>
      <c r="CA14" s="409">
        <f>BZ14-(BZ14*0.375)+0.01</f>
        <v>98129.70968749998</v>
      </c>
      <c r="CB14" s="409">
        <f t="shared" si="50"/>
        <v>83410.25323437499</v>
      </c>
      <c r="CC14" s="409">
        <f t="shared" si="52"/>
        <v>14719.456453124998</v>
      </c>
      <c r="CD14" s="409">
        <f t="shared" si="53"/>
        <v>34345.39839062499</v>
      </c>
      <c r="CE14" s="409">
        <v>0</v>
      </c>
      <c r="CF14" s="409">
        <v>0</v>
      </c>
      <c r="CG14" s="711" t="s">
        <v>1294</v>
      </c>
      <c r="CH14" s="416">
        <v>38630</v>
      </c>
      <c r="CI14" s="579" t="s">
        <v>1297</v>
      </c>
      <c r="CJ14" s="416">
        <v>38649</v>
      </c>
      <c r="CK14" s="872">
        <f>CA14</f>
        <v>98129.70968749998</v>
      </c>
      <c r="CL14" s="542">
        <v>195351.37</v>
      </c>
      <c r="CM14" s="409">
        <f>(CL14*0.65)</f>
        <v>126978.3905</v>
      </c>
      <c r="CN14" s="409">
        <f>CM14-(CM14*0.375)</f>
        <v>79361.49406249999</v>
      </c>
      <c r="CO14" s="409">
        <f>CN14*0.85</f>
        <v>67457.26995312498</v>
      </c>
      <c r="CP14" s="409">
        <f t="shared" si="51"/>
        <v>11904.224109374998</v>
      </c>
      <c r="CQ14" s="409">
        <f>CN14*0.35</f>
        <v>27776.522921874996</v>
      </c>
      <c r="CR14" s="409"/>
      <c r="CS14" s="409"/>
      <c r="CT14" s="539">
        <v>1636</v>
      </c>
      <c r="CU14" s="416">
        <v>38638</v>
      </c>
      <c r="CV14" s="581" t="s">
        <v>700</v>
      </c>
      <c r="CW14" s="416">
        <v>38659</v>
      </c>
      <c r="CX14" s="743">
        <f>67457.27+11904.22</f>
        <v>79361.49</v>
      </c>
      <c r="CY14" s="542">
        <v>233334.21</v>
      </c>
      <c r="CZ14" s="409">
        <f aca="true" t="shared" si="70" ref="CZ14:CZ20">(CY14*0.65)</f>
        <v>151667.2365</v>
      </c>
      <c r="DA14" s="409">
        <f t="shared" si="54"/>
        <v>94792.0228125</v>
      </c>
      <c r="DB14" s="409">
        <f t="shared" si="55"/>
        <v>80573.219390625</v>
      </c>
      <c r="DC14" s="409">
        <f t="shared" si="56"/>
        <v>14218.803421875</v>
      </c>
      <c r="DD14" s="409">
        <f t="shared" si="57"/>
        <v>33177.207984374996</v>
      </c>
      <c r="DE14" s="409">
        <v>0</v>
      </c>
      <c r="DF14" s="409">
        <v>0</v>
      </c>
      <c r="DG14" s="539">
        <v>1953</v>
      </c>
      <c r="DH14" s="416">
        <v>38698</v>
      </c>
      <c r="DI14" s="579" t="s">
        <v>1321</v>
      </c>
      <c r="DJ14" s="416">
        <v>38709</v>
      </c>
      <c r="DK14" s="743">
        <f>80573.22+14218.8</f>
        <v>94792.02</v>
      </c>
      <c r="DL14" s="542">
        <v>334029.81</v>
      </c>
      <c r="DM14" s="409">
        <f>(DL14*0.65)</f>
        <v>217119.3765</v>
      </c>
      <c r="DN14" s="409">
        <f t="shared" si="58"/>
        <v>135699.6103125</v>
      </c>
      <c r="DO14" s="409">
        <f t="shared" si="61"/>
        <v>115344.668765625</v>
      </c>
      <c r="DP14" s="409">
        <f t="shared" si="59"/>
        <v>20354.941546875</v>
      </c>
      <c r="DQ14" s="409">
        <f t="shared" si="60"/>
        <v>47494.863609375</v>
      </c>
      <c r="DR14" s="409">
        <v>0</v>
      </c>
      <c r="DS14" s="409">
        <v>0</v>
      </c>
      <c r="DT14" s="539">
        <v>590</v>
      </c>
      <c r="DU14" s="416">
        <v>38877</v>
      </c>
      <c r="DV14" s="726" t="s">
        <v>430</v>
      </c>
      <c r="DW14" s="416">
        <v>38895</v>
      </c>
      <c r="DX14" s="867">
        <f>115344.67+20354.94</f>
        <v>135699.61</v>
      </c>
      <c r="DY14" s="542">
        <v>346287.0520833334</v>
      </c>
      <c r="DZ14" s="409">
        <f>(DY14*0.65)</f>
        <v>225086.5838541667</v>
      </c>
      <c r="EA14" s="409">
        <f>DZ14-(DZ14*0.375)</f>
        <v>140679.1149088542</v>
      </c>
      <c r="EB14" s="409">
        <f t="shared" si="18"/>
        <v>119577.24767252605</v>
      </c>
      <c r="EC14" s="409">
        <f>EA14*0.15</f>
        <v>21101.867236328126</v>
      </c>
      <c r="ED14" s="409">
        <f t="shared" si="20"/>
        <v>49237.690218098964</v>
      </c>
      <c r="EE14" s="409">
        <v>0</v>
      </c>
      <c r="EF14" s="409">
        <v>0</v>
      </c>
      <c r="EG14" s="711">
        <v>1240</v>
      </c>
      <c r="EH14" s="416">
        <v>38964</v>
      </c>
      <c r="EI14" s="726" t="s">
        <v>1359</v>
      </c>
      <c r="EJ14" s="416">
        <v>38985</v>
      </c>
      <c r="EK14" s="743">
        <f>119577.24+21101.87</f>
        <v>140679.11000000002</v>
      </c>
      <c r="EL14" s="542">
        <v>422888.52</v>
      </c>
      <c r="EM14" s="409">
        <f>(EL14*0.65)</f>
        <v>274877.538</v>
      </c>
      <c r="EN14" s="409">
        <f>EM14-(EM14*0.375)</f>
        <v>171798.46125</v>
      </c>
      <c r="EO14" s="409">
        <f>EN14*0.85</f>
        <v>146028.6920625</v>
      </c>
      <c r="EP14" s="409">
        <f>EN14*0.15</f>
        <v>25769.7691875</v>
      </c>
      <c r="EQ14" s="409">
        <f>EN14*0.35</f>
        <v>60129.461437499995</v>
      </c>
      <c r="ER14" s="409">
        <v>0</v>
      </c>
      <c r="ES14" s="409">
        <v>0</v>
      </c>
      <c r="ET14" s="539">
        <v>278</v>
      </c>
      <c r="EU14" s="416">
        <v>39044</v>
      </c>
      <c r="EV14" s="726" t="s">
        <v>412</v>
      </c>
      <c r="EW14" s="416">
        <v>39071</v>
      </c>
      <c r="EX14" s="872">
        <f>146028.69+25769.77</f>
        <v>171798.46</v>
      </c>
      <c r="EY14" s="542">
        <v>443542.18988333317</v>
      </c>
      <c r="EZ14" s="409">
        <f>(EY14*0.65)</f>
        <v>288302.42342416657</v>
      </c>
      <c r="FA14" s="409">
        <f>EZ14-(EZ14*0.375)</f>
        <v>180189.0146401041</v>
      </c>
      <c r="FB14" s="409">
        <f>FA14*0.85</f>
        <v>153160.6624440885</v>
      </c>
      <c r="FC14" s="409">
        <f>FA14*0.15</f>
        <v>27028.352196015618</v>
      </c>
      <c r="FD14" s="409">
        <f>FA14*0.35</f>
        <v>63066.155124036435</v>
      </c>
      <c r="FE14" s="409">
        <v>0</v>
      </c>
      <c r="FF14" s="409">
        <v>0</v>
      </c>
      <c r="FG14" s="539">
        <v>203</v>
      </c>
      <c r="FH14" s="416">
        <v>39258</v>
      </c>
      <c r="FI14" s="860" t="s">
        <v>1410</v>
      </c>
      <c r="FJ14" s="893">
        <v>39274</v>
      </c>
      <c r="FK14" s="872">
        <f>+FA14</f>
        <v>180189.0146401041</v>
      </c>
      <c r="FL14" s="542">
        <v>401799.23</v>
      </c>
      <c r="FM14" s="409">
        <f>(FL14*0.65)</f>
        <v>261169.4995</v>
      </c>
      <c r="FN14" s="409">
        <f>FM14-(FM14*0.375)</f>
        <v>163230.9371875</v>
      </c>
      <c r="FO14" s="409">
        <f>FN14*0.85</f>
        <v>138746.29660937501</v>
      </c>
      <c r="FP14" s="409">
        <f>FN14*0.15</f>
        <v>24484.640578125</v>
      </c>
      <c r="FQ14" s="409">
        <f>FN14*0.35</f>
        <v>57130.828015625</v>
      </c>
      <c r="FR14" s="542">
        <v>0</v>
      </c>
      <c r="FS14" s="542">
        <v>0</v>
      </c>
      <c r="FT14" s="539">
        <v>487</v>
      </c>
      <c r="FU14" s="893">
        <v>39429</v>
      </c>
      <c r="FV14" s="860" t="s">
        <v>1429</v>
      </c>
      <c r="FW14" s="416">
        <v>39437</v>
      </c>
      <c r="FX14" s="872">
        <f>+FN14</f>
        <v>163230.9371875</v>
      </c>
      <c r="FY14" s="542">
        <v>195673.6</v>
      </c>
      <c r="FZ14" s="409">
        <f>(FY14*0.65)</f>
        <v>127187.84000000001</v>
      </c>
      <c r="GA14" s="409">
        <f>+FZ14-110875.3</f>
        <v>16312.540000000008</v>
      </c>
      <c r="GB14" s="409">
        <v>13865.66</v>
      </c>
      <c r="GC14" s="409">
        <v>2446.88</v>
      </c>
      <c r="GD14" s="409">
        <f>GA14*0.35</f>
        <v>5709.389000000003</v>
      </c>
      <c r="GE14" s="542">
        <v>0</v>
      </c>
      <c r="GF14" s="542">
        <v>0</v>
      </c>
      <c r="GG14" s="539">
        <v>218</v>
      </c>
      <c r="GH14" s="445">
        <v>39608</v>
      </c>
      <c r="GI14" s="543" t="s">
        <v>730</v>
      </c>
      <c r="GJ14" s="416">
        <v>39639</v>
      </c>
      <c r="GK14" s="872">
        <f>+GA14</f>
        <v>16312.540000000008</v>
      </c>
      <c r="GL14" s="542">
        <v>447692.55084166594</v>
      </c>
      <c r="GM14" s="409">
        <f>(GL14*0.65)</f>
        <v>291000.1580470829</v>
      </c>
      <c r="GN14" s="409">
        <f>+GM14</f>
        <v>291000.1580470829</v>
      </c>
      <c r="GO14" s="409">
        <f>GN14*0.85</f>
        <v>247350.13434002045</v>
      </c>
      <c r="GP14" s="409">
        <f>GN14*0.15+0.01</f>
        <v>43650.03370706244</v>
      </c>
      <c r="GQ14" s="409">
        <f>GN14*0.35</f>
        <v>101850.055316479</v>
      </c>
      <c r="GR14" s="542">
        <v>0</v>
      </c>
      <c r="GS14" s="542">
        <v>0</v>
      </c>
      <c r="GT14" s="539">
        <v>459</v>
      </c>
      <c r="GU14" s="416">
        <v>39748</v>
      </c>
      <c r="GV14" s="543" t="s">
        <v>224</v>
      </c>
      <c r="GW14" s="893">
        <v>39765</v>
      </c>
      <c r="GX14" s="872">
        <f>+GN14</f>
        <v>291000.1580470829</v>
      </c>
      <c r="GY14" s="899"/>
      <c r="GZ14" s="888">
        <f t="shared" si="38"/>
        <v>1152736.6448541668</v>
      </c>
      <c r="HA14" s="443">
        <f t="shared" si="39"/>
        <v>720460.3996875</v>
      </c>
      <c r="HB14" s="566">
        <v>38231</v>
      </c>
      <c r="HC14" s="655">
        <f>36+6+2</f>
        <v>44</v>
      </c>
      <c r="HD14" s="697">
        <f t="shared" si="46"/>
        <v>3.6666666666666665</v>
      </c>
      <c r="HE14" s="441">
        <f t="shared" si="40"/>
        <v>39569.333333333336</v>
      </c>
      <c r="HF14" s="444">
        <f t="shared" si="41"/>
        <v>1152736.6448541668</v>
      </c>
      <c r="HG14" s="817">
        <v>5</v>
      </c>
      <c r="HH14" s="444">
        <f t="shared" si="48"/>
        <v>230547.32897083336</v>
      </c>
      <c r="HI14" s="444">
        <f t="shared" si="49"/>
        <v>345820.99345625006</v>
      </c>
      <c r="HJ14" s="542">
        <f>($T$14*0.5)/$HD$14</f>
        <v>340909.09090909094</v>
      </c>
      <c r="HK14" s="542">
        <f>($T$14*0.5)/$HD$14</f>
        <v>340909.09090909094</v>
      </c>
      <c r="HL14" s="542">
        <f>($T$14*0.5)/$HD$14</f>
        <v>340909.09090909094</v>
      </c>
      <c r="HN14" s="542"/>
      <c r="HO14" s="974">
        <f t="shared" si="62"/>
        <v>3262148.5628083325</v>
      </c>
      <c r="HP14" s="974">
        <f t="shared" si="63"/>
        <v>2120396.5658254162</v>
      </c>
      <c r="HQ14" s="974">
        <f t="shared" si="64"/>
        <v>1060198.2829127081</v>
      </c>
      <c r="HR14" s="974">
        <f t="shared" si="65"/>
        <v>742138.7980388956</v>
      </c>
      <c r="HS14" s="974">
        <f t="shared" si="66"/>
        <v>1802337.0809516036</v>
      </c>
      <c r="HT14" s="974">
        <f t="shared" si="67"/>
        <v>318059.4848738124</v>
      </c>
      <c r="HU14" s="974">
        <f t="shared" si="68"/>
        <v>1141751.9969829163</v>
      </c>
    </row>
    <row r="15" spans="1:229" s="155" customFormat="1" ht="12" customHeight="1">
      <c r="A15" s="421">
        <v>13</v>
      </c>
      <c r="B15" s="406" t="e">
        <f>IF(#REF!&gt;0,"si","no")</f>
        <v>#REF!</v>
      </c>
      <c r="C15" s="407">
        <v>29</v>
      </c>
      <c r="D15" s="477" t="s">
        <v>290</v>
      </c>
      <c r="E15" s="477" t="s">
        <v>748</v>
      </c>
      <c r="F15" s="477" t="s">
        <v>480</v>
      </c>
      <c r="G15" s="477" t="s">
        <v>1026</v>
      </c>
      <c r="H15" s="820" t="s">
        <v>1189</v>
      </c>
      <c r="I15" s="526" t="s">
        <v>1025</v>
      </c>
      <c r="J15" s="411">
        <v>1878269</v>
      </c>
      <c r="K15" s="410">
        <v>65</v>
      </c>
      <c r="L15" s="410" t="str">
        <f t="shared" si="0"/>
        <v>è</v>
      </c>
      <c r="M15" s="410" t="s">
        <v>793</v>
      </c>
      <c r="N15" s="409">
        <v>67470</v>
      </c>
      <c r="O15" s="409">
        <f t="shared" si="1"/>
        <v>1810799</v>
      </c>
      <c r="P15" s="409">
        <f t="shared" si="2"/>
        <v>362159.80000000005</v>
      </c>
      <c r="Q15" s="411">
        <f t="shared" si="3"/>
        <v>2240428.8</v>
      </c>
      <c r="R15" s="411">
        <f t="shared" si="4"/>
        <v>1220874.85</v>
      </c>
      <c r="S15" s="409">
        <f t="shared" si="5"/>
        <v>235403.87000000002</v>
      </c>
      <c r="T15" s="411">
        <f t="shared" si="6"/>
        <v>1456278.7200000002</v>
      </c>
      <c r="U15" s="411">
        <f t="shared" si="30"/>
        <v>728139.3600000001</v>
      </c>
      <c r="V15" s="411">
        <f t="shared" si="31"/>
        <v>509697.552</v>
      </c>
      <c r="W15" s="409">
        <f t="shared" si="32"/>
        <v>1237836.9120000002</v>
      </c>
      <c r="X15" s="411">
        <f t="shared" si="7"/>
        <v>218441.80800000002</v>
      </c>
      <c r="Y15" s="411">
        <f t="shared" si="8"/>
        <v>657394.1499999999</v>
      </c>
      <c r="Z15" s="411">
        <f t="shared" si="9"/>
        <v>784150.0799999996</v>
      </c>
      <c r="AA15" s="412" t="s">
        <v>794</v>
      </c>
      <c r="AB15" s="413" t="s">
        <v>895</v>
      </c>
      <c r="AC15" s="413" t="s">
        <v>896</v>
      </c>
      <c r="AD15" s="213" t="s">
        <v>797</v>
      </c>
      <c r="AE15" s="213" t="s">
        <v>798</v>
      </c>
      <c r="AF15" s="213" t="s">
        <v>282</v>
      </c>
      <c r="AG15" s="213" t="s">
        <v>285</v>
      </c>
      <c r="AH15" s="213">
        <v>70124</v>
      </c>
      <c r="AI15" s="405">
        <v>93281810726</v>
      </c>
      <c r="AJ15" s="414" t="s">
        <v>1006</v>
      </c>
      <c r="AK15" s="415">
        <v>56</v>
      </c>
      <c r="AL15" s="415">
        <v>231</v>
      </c>
      <c r="AM15" s="412" t="s">
        <v>182</v>
      </c>
      <c r="AN15" s="416">
        <v>38191</v>
      </c>
      <c r="AO15" s="406" t="s">
        <v>1015</v>
      </c>
      <c r="AP15" s="406">
        <v>1641</v>
      </c>
      <c r="AQ15" s="417">
        <v>10</v>
      </c>
      <c r="AR15" s="417">
        <v>9</v>
      </c>
      <c r="AS15" s="677" t="s">
        <v>167</v>
      </c>
      <c r="AT15" s="677" t="s">
        <v>167</v>
      </c>
      <c r="AU15" s="470" t="s">
        <v>295</v>
      </c>
      <c r="AV15" s="471">
        <v>38287</v>
      </c>
      <c r="AW15" s="471">
        <v>38271</v>
      </c>
      <c r="AX15" s="709">
        <v>38285</v>
      </c>
      <c r="AY15" s="155" t="s">
        <v>286</v>
      </c>
      <c r="AZ15" s="155" t="s">
        <v>418</v>
      </c>
      <c r="BA15" s="155" t="s">
        <v>797</v>
      </c>
      <c r="BB15" s="155" t="s">
        <v>379</v>
      </c>
      <c r="BC15" s="405">
        <v>6946</v>
      </c>
      <c r="BD15" s="155" t="s">
        <v>287</v>
      </c>
      <c r="BF15" s="414">
        <v>58243</v>
      </c>
      <c r="BG15" s="471">
        <v>38274</v>
      </c>
      <c r="BH15" s="155" t="s">
        <v>288</v>
      </c>
      <c r="BI15" s="411">
        <f t="shared" si="33"/>
        <v>436883.61600000004</v>
      </c>
      <c r="BJ15" s="411">
        <f t="shared" si="34"/>
        <v>371351.0736</v>
      </c>
      <c r="BK15" s="419">
        <f>Disponibilità!V6</f>
        <v>2002</v>
      </c>
      <c r="BL15" s="411">
        <f t="shared" si="10"/>
        <v>65532.542400000006</v>
      </c>
      <c r="BM15" s="419">
        <f>Disponibilità!X6</f>
        <v>2003</v>
      </c>
      <c r="BN15" s="411">
        <f t="shared" si="11"/>
        <v>152909.2656</v>
      </c>
      <c r="BO15" s="411"/>
      <c r="BP15" s="411"/>
      <c r="BQ15" s="539">
        <v>476</v>
      </c>
      <c r="BR15" s="416">
        <v>38289</v>
      </c>
      <c r="BS15" s="416" t="s">
        <v>154</v>
      </c>
      <c r="BT15" s="711" t="s">
        <v>1110</v>
      </c>
      <c r="BU15" s="838" t="s">
        <v>1051</v>
      </c>
      <c r="BV15" s="435">
        <v>38323</v>
      </c>
      <c r="BW15" s="430">
        <f>371351.08+65532.24</f>
        <v>436883.32</v>
      </c>
      <c r="BX15" s="878">
        <f>371351.08+65532.24</f>
        <v>436883.32</v>
      </c>
      <c r="BY15" s="542">
        <v>943159.34</v>
      </c>
      <c r="BZ15" s="409">
        <f t="shared" si="69"/>
        <v>613053.571</v>
      </c>
      <c r="CA15" s="409">
        <f>BZ15-(BZ15*0.375)</f>
        <v>383158.481875</v>
      </c>
      <c r="CB15" s="409">
        <f t="shared" si="50"/>
        <v>325684.70959375</v>
      </c>
      <c r="CC15" s="409">
        <f t="shared" si="52"/>
        <v>57473.77228125</v>
      </c>
      <c r="CD15" s="409">
        <f t="shared" si="53"/>
        <v>134105.46865624998</v>
      </c>
      <c r="CE15" s="409">
        <v>0</v>
      </c>
      <c r="CF15" s="409">
        <v>0</v>
      </c>
      <c r="CG15" s="539">
        <v>1534</v>
      </c>
      <c r="CH15" s="416">
        <v>38595</v>
      </c>
      <c r="CI15" s="579" t="s">
        <v>91</v>
      </c>
      <c r="CJ15" s="416">
        <v>38622</v>
      </c>
      <c r="CK15" s="872">
        <f>325684.71+57473.77</f>
        <v>383158.48000000004</v>
      </c>
      <c r="CL15" s="542">
        <v>384525.68</v>
      </c>
      <c r="CM15" s="542">
        <v>249941.69</v>
      </c>
      <c r="CN15" s="430">
        <v>156213.56</v>
      </c>
      <c r="CO15" s="542">
        <v>132781.53</v>
      </c>
      <c r="CP15" s="542">
        <v>23432.03</v>
      </c>
      <c r="CQ15" s="542">
        <v>54674.75</v>
      </c>
      <c r="CR15" s="430">
        <v>0</v>
      </c>
      <c r="CS15" s="430">
        <v>0</v>
      </c>
      <c r="CT15" s="539">
        <v>17</v>
      </c>
      <c r="CU15" s="416" t="s">
        <v>1390</v>
      </c>
      <c r="CV15" s="579" t="s">
        <v>1393</v>
      </c>
      <c r="CW15" s="416">
        <v>39129</v>
      </c>
      <c r="CX15" s="743">
        <f>132781.53+23432.03</f>
        <v>156213.56</v>
      </c>
      <c r="CY15" s="542">
        <v>213258.69</v>
      </c>
      <c r="CZ15" s="409">
        <f t="shared" si="70"/>
        <v>138618.1485</v>
      </c>
      <c r="DA15" s="409">
        <f t="shared" si="54"/>
        <v>86636.3428125</v>
      </c>
      <c r="DB15" s="409">
        <f t="shared" si="55"/>
        <v>73640.89139062501</v>
      </c>
      <c r="DC15" s="409">
        <f t="shared" si="56"/>
        <v>12995.451421875001</v>
      </c>
      <c r="DD15" s="409">
        <f t="shared" si="57"/>
        <v>30322.719984375</v>
      </c>
      <c r="DE15" s="409">
        <v>0</v>
      </c>
      <c r="DF15" s="409">
        <v>0</v>
      </c>
      <c r="DG15" s="581">
        <v>440</v>
      </c>
      <c r="DH15" s="416">
        <v>39419</v>
      </c>
      <c r="DI15" s="579" t="s">
        <v>298</v>
      </c>
      <c r="DJ15" s="416">
        <v>39433</v>
      </c>
      <c r="DK15" s="743">
        <f>DA15</f>
        <v>86636.3428125</v>
      </c>
      <c r="DL15" s="542">
        <v>108225.71</v>
      </c>
      <c r="DM15" s="409">
        <f>(DL15*0.65)</f>
        <v>70346.7115</v>
      </c>
      <c r="DN15" s="409">
        <f>DM15-61278.59</f>
        <v>9068.121500000008</v>
      </c>
      <c r="DO15" s="409">
        <f t="shared" si="61"/>
        <v>7707.903275000007</v>
      </c>
      <c r="DP15" s="409">
        <f t="shared" si="59"/>
        <v>1360.2182250000012</v>
      </c>
      <c r="DQ15" s="409">
        <f t="shared" si="60"/>
        <v>3173.8425250000028</v>
      </c>
      <c r="DR15" s="409">
        <v>0</v>
      </c>
      <c r="DS15" s="409">
        <v>0</v>
      </c>
      <c r="DT15" s="539"/>
      <c r="DU15" s="681"/>
      <c r="DV15" s="581"/>
      <c r="DW15" s="416"/>
      <c r="DX15" s="867">
        <f aca="true" t="shared" si="71" ref="DX15:DX21">DN15</f>
        <v>9068.121500000008</v>
      </c>
      <c r="DY15" s="542"/>
      <c r="DZ15" s="542"/>
      <c r="EA15" s="542"/>
      <c r="EB15" s="542"/>
      <c r="EC15" s="542"/>
      <c r="ED15" s="542"/>
      <c r="EE15" s="542"/>
      <c r="EF15" s="542"/>
      <c r="EG15" s="539"/>
      <c r="EH15" s="416"/>
      <c r="EI15" s="581"/>
      <c r="EJ15" s="416"/>
      <c r="EK15" s="743"/>
      <c r="EL15" s="542"/>
      <c r="EM15" s="542"/>
      <c r="EN15" s="542"/>
      <c r="EO15" s="542"/>
      <c r="EP15" s="542"/>
      <c r="EQ15" s="542"/>
      <c r="ER15" s="542"/>
      <c r="ES15" s="542"/>
      <c r="ET15" s="539"/>
      <c r="EU15" s="416"/>
      <c r="EV15" s="581"/>
      <c r="EW15" s="416"/>
      <c r="EX15" s="872"/>
      <c r="EY15" s="542"/>
      <c r="EZ15" s="542"/>
      <c r="FA15" s="542"/>
      <c r="FB15" s="542"/>
      <c r="FC15" s="542"/>
      <c r="FD15" s="542"/>
      <c r="FE15" s="542"/>
      <c r="FF15" s="542"/>
      <c r="FG15" s="542"/>
      <c r="FH15" s="542"/>
      <c r="FI15" s="542"/>
      <c r="FJ15" s="542"/>
      <c r="FK15" s="872">
        <f aca="true" t="shared" si="72" ref="FK15:FK21">+FA15</f>
        <v>0</v>
      </c>
      <c r="FL15" s="542"/>
      <c r="FM15" s="542"/>
      <c r="FN15" s="542"/>
      <c r="FO15" s="542"/>
      <c r="FP15" s="542"/>
      <c r="FQ15" s="542"/>
      <c r="FR15" s="542"/>
      <c r="FS15" s="542"/>
      <c r="FT15" s="542"/>
      <c r="FU15" s="542"/>
      <c r="FV15" s="542"/>
      <c r="FW15" s="542"/>
      <c r="FX15" s="872"/>
      <c r="FY15" s="542"/>
      <c r="FZ15" s="542"/>
      <c r="GA15" s="542"/>
      <c r="GB15" s="542"/>
      <c r="GC15" s="542"/>
      <c r="GD15" s="542"/>
      <c r="GE15" s="542"/>
      <c r="GF15" s="542"/>
      <c r="GG15" s="542"/>
      <c r="GH15" s="542"/>
      <c r="GI15" s="542"/>
      <c r="GJ15" s="542"/>
      <c r="GK15" s="872"/>
      <c r="GL15" s="872"/>
      <c r="GM15" s="872"/>
      <c r="GN15" s="872"/>
      <c r="GO15" s="872"/>
      <c r="GP15" s="872"/>
      <c r="GQ15" s="872"/>
      <c r="GR15" s="872"/>
      <c r="GS15" s="872"/>
      <c r="GT15" s="872"/>
      <c r="GU15" s="872"/>
      <c r="GV15" s="872"/>
      <c r="GW15" s="872"/>
      <c r="GX15" s="872"/>
      <c r="GY15" s="899"/>
      <c r="GZ15" s="888">
        <f t="shared" si="38"/>
        <v>1071960.121</v>
      </c>
      <c r="HA15" s="443">
        <f t="shared" si="39"/>
        <v>635076.5043125</v>
      </c>
      <c r="HB15" s="566">
        <v>38077</v>
      </c>
      <c r="HC15" s="655">
        <f>36+6+3</f>
        <v>45</v>
      </c>
      <c r="HD15" s="697">
        <f t="shared" si="46"/>
        <v>3.75</v>
      </c>
      <c r="HE15" s="441">
        <f t="shared" si="40"/>
        <v>39445.75</v>
      </c>
      <c r="HF15" s="444">
        <f t="shared" si="41"/>
        <v>1071960.121</v>
      </c>
      <c r="HG15" s="817">
        <v>1</v>
      </c>
      <c r="HH15" s="444">
        <f t="shared" si="48"/>
        <v>1071960.121</v>
      </c>
      <c r="HI15" s="444">
        <f t="shared" si="49"/>
        <v>1607940.1815</v>
      </c>
      <c r="HJ15" s="542">
        <f>(T15*0.5)/HD15</f>
        <v>194170.496</v>
      </c>
      <c r="HK15" s="542">
        <f aca="true" t="shared" si="73" ref="HK15:HK20">(T15*0.5)/HD15</f>
        <v>194170.496</v>
      </c>
      <c r="HL15" s="542">
        <f>(T15*0.5)/HD15</f>
        <v>194170.496</v>
      </c>
      <c r="HM15" s="542">
        <f t="shared" si="42"/>
        <v>291255.74400000006</v>
      </c>
      <c r="HN15" s="542"/>
      <c r="HO15" s="974">
        <f t="shared" si="62"/>
        <v>1649169.42</v>
      </c>
      <c r="HP15" s="974">
        <f t="shared" si="63"/>
        <v>1071960.121</v>
      </c>
      <c r="HQ15" s="974">
        <f t="shared" si="64"/>
        <v>535980.0605</v>
      </c>
      <c r="HR15" s="974">
        <f t="shared" si="65"/>
        <v>375186.04235</v>
      </c>
      <c r="HS15" s="974">
        <f t="shared" si="66"/>
        <v>911166.10285</v>
      </c>
      <c r="HT15" s="974">
        <f t="shared" si="67"/>
        <v>160794.01815</v>
      </c>
      <c r="HU15" s="974">
        <f t="shared" si="68"/>
        <v>577209.2989999999</v>
      </c>
    </row>
    <row r="16" spans="1:229" s="429" customFormat="1" ht="12" customHeight="1">
      <c r="A16" s="421">
        <v>14</v>
      </c>
      <c r="B16" s="406" t="s">
        <v>177</v>
      </c>
      <c r="C16" s="433">
        <v>30</v>
      </c>
      <c r="D16" s="474" t="s">
        <v>1105</v>
      </c>
      <c r="E16" s="474" t="s">
        <v>900</v>
      </c>
      <c r="F16" s="855"/>
      <c r="G16" s="474" t="s">
        <v>1379</v>
      </c>
      <c r="H16" s="821" t="s">
        <v>1190</v>
      </c>
      <c r="I16" s="529" t="s">
        <v>1198</v>
      </c>
      <c r="J16" s="444">
        <v>2136920</v>
      </c>
      <c r="K16" s="421">
        <v>65</v>
      </c>
      <c r="L16" s="410" t="str">
        <f t="shared" si="0"/>
        <v>è</v>
      </c>
      <c r="M16" s="410" t="s">
        <v>793</v>
      </c>
      <c r="N16" s="443">
        <v>320366</v>
      </c>
      <c r="O16" s="443">
        <f t="shared" si="1"/>
        <v>1816554</v>
      </c>
      <c r="P16" s="443">
        <f t="shared" si="2"/>
        <v>363310.80000000005</v>
      </c>
      <c r="Q16" s="411">
        <f t="shared" si="3"/>
        <v>2500230.8</v>
      </c>
      <c r="R16" s="444">
        <f t="shared" si="4"/>
        <v>1388998</v>
      </c>
      <c r="S16" s="443">
        <f t="shared" si="5"/>
        <v>236152.02000000005</v>
      </c>
      <c r="T16" s="444">
        <f t="shared" si="6"/>
        <v>1625150.02</v>
      </c>
      <c r="U16" s="411">
        <f t="shared" si="30"/>
        <v>812575.01</v>
      </c>
      <c r="V16" s="411">
        <f t="shared" si="31"/>
        <v>568802.507</v>
      </c>
      <c r="W16" s="443">
        <f t="shared" si="32"/>
        <v>1381377.517</v>
      </c>
      <c r="X16" s="444">
        <f t="shared" si="7"/>
        <v>243772.503</v>
      </c>
      <c r="Y16" s="411">
        <f t="shared" si="8"/>
        <v>747922</v>
      </c>
      <c r="Z16" s="411">
        <f t="shared" si="9"/>
        <v>875080.7799999998</v>
      </c>
      <c r="AA16" s="437" t="s">
        <v>794</v>
      </c>
      <c r="AB16" s="439" t="s">
        <v>895</v>
      </c>
      <c r="AC16" s="439" t="s">
        <v>901</v>
      </c>
      <c r="AD16" s="421" t="s">
        <v>797</v>
      </c>
      <c r="AE16" s="421" t="s">
        <v>798</v>
      </c>
      <c r="AF16" s="421" t="s">
        <v>37</v>
      </c>
      <c r="AG16" s="421">
        <v>86</v>
      </c>
      <c r="AH16" s="421">
        <v>70124</v>
      </c>
      <c r="AI16" s="421">
        <v>93069740723</v>
      </c>
      <c r="AJ16" s="440" t="s">
        <v>922</v>
      </c>
      <c r="AK16" s="421">
        <v>55</v>
      </c>
      <c r="AL16" s="421">
        <v>330</v>
      </c>
      <c r="AM16" s="445">
        <v>38205</v>
      </c>
      <c r="AN16" s="445">
        <v>38246</v>
      </c>
      <c r="AO16" s="406" t="s">
        <v>176</v>
      </c>
      <c r="AP16" s="406">
        <v>1803</v>
      </c>
      <c r="AQ16" s="421">
        <v>36</v>
      </c>
      <c r="AR16" s="421">
        <v>31</v>
      </c>
      <c r="AS16" s="679" t="s">
        <v>173</v>
      </c>
      <c r="AT16" s="679"/>
      <c r="AU16" s="472" t="s">
        <v>295</v>
      </c>
      <c r="AV16" s="473">
        <v>38321</v>
      </c>
      <c r="AW16" s="473">
        <v>38302</v>
      </c>
      <c r="AX16" s="713">
        <v>38653</v>
      </c>
      <c r="AY16" s="474" t="s">
        <v>108</v>
      </c>
      <c r="AZ16" s="474" t="s">
        <v>109</v>
      </c>
      <c r="BA16" s="474" t="s">
        <v>797</v>
      </c>
      <c r="BB16" s="474" t="s">
        <v>111</v>
      </c>
      <c r="BC16" s="439" t="s">
        <v>1308</v>
      </c>
      <c r="BD16" s="474" t="s">
        <v>110</v>
      </c>
      <c r="BE16" s="474"/>
      <c r="BF16" s="675" t="s">
        <v>1199</v>
      </c>
      <c r="BG16" s="473">
        <v>38378</v>
      </c>
      <c r="BH16" s="474" t="s">
        <v>1200</v>
      </c>
      <c r="BI16" s="411">
        <f t="shared" si="33"/>
        <v>487545.006</v>
      </c>
      <c r="BJ16" s="411">
        <f t="shared" si="34"/>
        <v>414413.2551</v>
      </c>
      <c r="BK16" s="479" t="s">
        <v>1104</v>
      </c>
      <c r="BL16" s="411">
        <f t="shared" si="43"/>
        <v>73131.7509</v>
      </c>
      <c r="BM16" s="479" t="s">
        <v>1104</v>
      </c>
      <c r="BN16" s="411">
        <f t="shared" si="11"/>
        <v>170640.75209999998</v>
      </c>
      <c r="BO16" s="411"/>
      <c r="BP16" s="411"/>
      <c r="BQ16" s="540">
        <v>1866</v>
      </c>
      <c r="BR16" s="445">
        <v>38678</v>
      </c>
      <c r="BS16" s="421" t="s">
        <v>154</v>
      </c>
      <c r="BT16" s="537"/>
      <c r="BU16" s="838" t="s">
        <v>22</v>
      </c>
      <c r="BV16" s="416">
        <v>38698</v>
      </c>
      <c r="BW16" s="430">
        <f>414413.26+73131.75</f>
        <v>487545.01</v>
      </c>
      <c r="BX16" s="878">
        <f>414413.26+73131.75</f>
        <v>487545.01</v>
      </c>
      <c r="BY16" s="542">
        <v>258027.2</v>
      </c>
      <c r="BZ16" s="409">
        <f t="shared" si="69"/>
        <v>167717.68000000002</v>
      </c>
      <c r="CA16" s="409">
        <f>BZ16-(BZ16*0.375)</f>
        <v>104823.55000000002</v>
      </c>
      <c r="CB16" s="409">
        <f t="shared" si="50"/>
        <v>89100.01750000002</v>
      </c>
      <c r="CC16" s="409">
        <f>CA16*0.15</f>
        <v>15723.532500000001</v>
      </c>
      <c r="CD16" s="409">
        <f>CA16*0.35</f>
        <v>36688.2425</v>
      </c>
      <c r="CE16" s="409">
        <v>0</v>
      </c>
      <c r="CF16" s="409">
        <v>0</v>
      </c>
      <c r="CG16" s="540">
        <v>227</v>
      </c>
      <c r="CH16" s="445">
        <v>38993</v>
      </c>
      <c r="CI16" s="584" t="s">
        <v>94</v>
      </c>
      <c r="CJ16" s="445">
        <v>39009</v>
      </c>
      <c r="CK16" s="870">
        <f>89100.02+15723.53</f>
        <v>104823.55</v>
      </c>
      <c r="CL16" s="542">
        <v>171456.47</v>
      </c>
      <c r="CM16" s="409">
        <f>(CL16*0.65)</f>
        <v>111446.70550000001</v>
      </c>
      <c r="CN16" s="409">
        <f>CM16-(CM16*0.375)</f>
        <v>69654.19093750001</v>
      </c>
      <c r="CO16" s="409">
        <f>CN16*0.85</f>
        <v>59206.06229687501</v>
      </c>
      <c r="CP16" s="409">
        <f>CN16*0.15</f>
        <v>10448.128640625002</v>
      </c>
      <c r="CQ16" s="409">
        <f>CN16*0.35</f>
        <v>24378.966828125</v>
      </c>
      <c r="CR16" s="409">
        <v>0</v>
      </c>
      <c r="CS16" s="409">
        <v>0</v>
      </c>
      <c r="CT16" s="539">
        <v>115</v>
      </c>
      <c r="CU16" s="445">
        <v>39211</v>
      </c>
      <c r="CV16" s="579" t="s">
        <v>1411</v>
      </c>
      <c r="CW16" s="445">
        <v>39226</v>
      </c>
      <c r="CX16" s="847">
        <f>CN16</f>
        <v>69654.19093750001</v>
      </c>
      <c r="CY16" s="542">
        <v>31540.35</v>
      </c>
      <c r="CZ16" s="409">
        <f t="shared" si="70"/>
        <v>20501.2275</v>
      </c>
      <c r="DA16" s="409">
        <f t="shared" si="54"/>
        <v>12813.267187500001</v>
      </c>
      <c r="DB16" s="409">
        <f t="shared" si="55"/>
        <v>10891.277109375002</v>
      </c>
      <c r="DC16" s="409">
        <f t="shared" si="56"/>
        <v>1921.990078125</v>
      </c>
      <c r="DD16" s="409">
        <f t="shared" si="57"/>
        <v>4484.643515625</v>
      </c>
      <c r="DE16" s="409">
        <v>0</v>
      </c>
      <c r="DF16" s="409">
        <v>0</v>
      </c>
      <c r="DG16" s="540">
        <v>352</v>
      </c>
      <c r="DH16" s="445">
        <v>39377</v>
      </c>
      <c r="DI16" s="580" t="s">
        <v>1421</v>
      </c>
      <c r="DJ16" s="445">
        <v>39392</v>
      </c>
      <c r="DK16" s="743">
        <f>DA16</f>
        <v>12813.267187500001</v>
      </c>
      <c r="DL16" s="446">
        <v>245454.74</v>
      </c>
      <c r="DM16" s="409">
        <f>(DL16*0.65)</f>
        <v>159545.581</v>
      </c>
      <c r="DN16" s="409">
        <f t="shared" si="58"/>
        <v>99715.988125</v>
      </c>
      <c r="DO16" s="409">
        <f t="shared" si="61"/>
        <v>84758.58990625</v>
      </c>
      <c r="DP16" s="409">
        <f t="shared" si="59"/>
        <v>14957.39821875</v>
      </c>
      <c r="DQ16" s="409">
        <f t="shared" si="60"/>
        <v>34900.59584375</v>
      </c>
      <c r="DR16" s="409">
        <v>0</v>
      </c>
      <c r="DS16" s="409">
        <v>0</v>
      </c>
      <c r="DT16" s="540">
        <v>401</v>
      </c>
      <c r="DU16" s="445">
        <v>39405</v>
      </c>
      <c r="DV16" s="580" t="s">
        <v>1422</v>
      </c>
      <c r="DW16" s="445">
        <v>39415</v>
      </c>
      <c r="DX16" s="867">
        <f t="shared" si="71"/>
        <v>99715.988125</v>
      </c>
      <c r="DY16" s="543">
        <v>264998.55</v>
      </c>
      <c r="DZ16" s="409">
        <f>(DY16*0.65)</f>
        <v>172249.0575</v>
      </c>
      <c r="EA16" s="409">
        <f>DZ16-(DZ16*0.375)</f>
        <v>107655.6609375</v>
      </c>
      <c r="EB16" s="409">
        <f>EA16*0.85</f>
        <v>91507.311796875</v>
      </c>
      <c r="EC16" s="409">
        <f>EA16*0.15</f>
        <v>16148.349140625</v>
      </c>
      <c r="ED16" s="409">
        <f>EA16*0.35</f>
        <v>37679.481328124995</v>
      </c>
      <c r="EE16" s="543">
        <v>0</v>
      </c>
      <c r="EF16" s="543">
        <v>0</v>
      </c>
      <c r="EG16" s="540">
        <v>472</v>
      </c>
      <c r="EH16" s="445">
        <v>39422</v>
      </c>
      <c r="EI16" s="584" t="s">
        <v>1428</v>
      </c>
      <c r="EJ16" s="445">
        <v>39434</v>
      </c>
      <c r="EK16" s="743">
        <f>EA16</f>
        <v>107655.6609375</v>
      </c>
      <c r="EL16" s="543">
        <v>149500</v>
      </c>
      <c r="EM16" s="409">
        <f>(EL16*0.65)</f>
        <v>97175</v>
      </c>
      <c r="EN16" s="409">
        <f>EM16-(EM16*0.375)</f>
        <v>60734.375</v>
      </c>
      <c r="EO16" s="409">
        <f>EN16*0.85</f>
        <v>51624.21875</v>
      </c>
      <c r="EP16" s="409">
        <f>EN16*0.15</f>
        <v>9110.15625</v>
      </c>
      <c r="EQ16" s="409">
        <f>EN16*0.35</f>
        <v>21257.03125</v>
      </c>
      <c r="ER16" s="409">
        <v>0</v>
      </c>
      <c r="ES16" s="409">
        <v>0</v>
      </c>
      <c r="ET16" s="964">
        <v>502</v>
      </c>
      <c r="EU16" s="445">
        <v>39435</v>
      </c>
      <c r="EV16" s="584" t="s">
        <v>1430</v>
      </c>
      <c r="EW16" s="445">
        <v>39440</v>
      </c>
      <c r="EX16" s="870">
        <f>+EN16</f>
        <v>60734.375</v>
      </c>
      <c r="EY16" s="543">
        <v>150000</v>
      </c>
      <c r="EZ16" s="409">
        <f>(EY16*0.65)</f>
        <v>97500</v>
      </c>
      <c r="FA16" s="409">
        <f>EZ16-(EZ16*0.375)</f>
        <v>60937.5</v>
      </c>
      <c r="FB16" s="409">
        <f>FA16*0.85</f>
        <v>51796.875</v>
      </c>
      <c r="FC16" s="409">
        <f>FA16*0.15</f>
        <v>9140.625</v>
      </c>
      <c r="FD16" s="409">
        <f>FA16*0.35</f>
        <v>21328.125</v>
      </c>
      <c r="FE16" s="543"/>
      <c r="FF16" s="543"/>
      <c r="FG16" s="540">
        <v>25</v>
      </c>
      <c r="FH16" s="445">
        <v>39469</v>
      </c>
      <c r="FI16" s="967" t="s">
        <v>381</v>
      </c>
      <c r="FJ16" s="445">
        <v>39489</v>
      </c>
      <c r="FK16" s="872">
        <f t="shared" si="72"/>
        <v>60937.5</v>
      </c>
      <c r="FL16" s="446">
        <v>132658.28</v>
      </c>
      <c r="FM16" s="409">
        <f>(FL16*0.65)</f>
        <v>86227.882</v>
      </c>
      <c r="FN16" s="409">
        <f>FM16-(FM16*0.375)</f>
        <v>53892.42625</v>
      </c>
      <c r="FO16" s="409">
        <f>FN16*0.85</f>
        <v>45808.5623125</v>
      </c>
      <c r="FP16" s="409">
        <f>FN16*0.15</f>
        <v>8083.863937499999</v>
      </c>
      <c r="FQ16" s="409">
        <f>FN16*0.35</f>
        <v>18862.349187499996</v>
      </c>
      <c r="FR16" s="543"/>
      <c r="FS16" s="543"/>
      <c r="FT16" s="540">
        <v>37</v>
      </c>
      <c r="FU16" s="445">
        <v>39489</v>
      </c>
      <c r="FV16" s="967" t="s">
        <v>1438</v>
      </c>
      <c r="FW16" s="445">
        <v>39506</v>
      </c>
      <c r="FX16" s="872">
        <f>+FN16</f>
        <v>53892.42625</v>
      </c>
      <c r="FY16" s="446">
        <v>156139.622</v>
      </c>
      <c r="FZ16" s="409">
        <f>(FY16*0.65)</f>
        <v>101490.7543</v>
      </c>
      <c r="GA16" s="409">
        <f>FZ16-(FZ16*0.375)</f>
        <v>63431.721437500004</v>
      </c>
      <c r="GB16" s="409">
        <f>GA16*0.85</f>
        <v>53916.963221875005</v>
      </c>
      <c r="GC16" s="409">
        <f>GA16*0.15</f>
        <v>9514.758215625001</v>
      </c>
      <c r="GD16" s="409">
        <f>GA16*0.35</f>
        <v>22201.102503125</v>
      </c>
      <c r="GE16" s="543"/>
      <c r="GF16" s="543"/>
      <c r="GG16" s="540">
        <v>76</v>
      </c>
      <c r="GH16" s="445">
        <v>39511</v>
      </c>
      <c r="GI16" s="707" t="s">
        <v>403</v>
      </c>
      <c r="GJ16" s="543"/>
      <c r="GK16" s="872">
        <f>+GA16</f>
        <v>63431.721437500004</v>
      </c>
      <c r="GL16" s="446">
        <v>84850</v>
      </c>
      <c r="GM16" s="409">
        <f>(GL16*0.65)</f>
        <v>55152.5</v>
      </c>
      <c r="GN16" s="409">
        <f>GM16-(GM16*0.375)</f>
        <v>34470.3125</v>
      </c>
      <c r="GO16" s="409">
        <f>GN16*0.85</f>
        <v>29299.765625</v>
      </c>
      <c r="GP16" s="409">
        <f>GN16*0.15</f>
        <v>5170.546875</v>
      </c>
      <c r="GQ16" s="409">
        <f>GN16*0.35</f>
        <v>12064.609375</v>
      </c>
      <c r="GR16" s="872"/>
      <c r="GS16" s="872"/>
      <c r="GT16" s="976">
        <v>101</v>
      </c>
      <c r="GU16" s="975">
        <v>39535</v>
      </c>
      <c r="GV16" s="543" t="s">
        <v>731</v>
      </c>
      <c r="GW16" s="893">
        <v>39616</v>
      </c>
      <c r="GX16" s="872">
        <f>+GN16</f>
        <v>34470.3125</v>
      </c>
      <c r="GY16" s="899"/>
      <c r="GZ16" s="888">
        <f t="shared" si="38"/>
        <v>728635.2515</v>
      </c>
      <c r="HA16" s="443">
        <f t="shared" si="39"/>
        <v>455397.03218750004</v>
      </c>
      <c r="HB16" s="568">
        <v>38316</v>
      </c>
      <c r="HC16" s="571">
        <f>36+7</f>
        <v>43</v>
      </c>
      <c r="HD16" s="697">
        <f t="shared" si="46"/>
        <v>3.5833333333333335</v>
      </c>
      <c r="HE16" s="441">
        <f t="shared" si="40"/>
        <v>39623.916666666664</v>
      </c>
      <c r="HF16" s="444">
        <f t="shared" si="41"/>
        <v>728635.2515</v>
      </c>
      <c r="HG16" s="817">
        <v>1</v>
      </c>
      <c r="HH16" s="444">
        <f t="shared" si="48"/>
        <v>728635.2515</v>
      </c>
      <c r="HI16" s="444">
        <f t="shared" si="49"/>
        <v>1092952.87725</v>
      </c>
      <c r="HJ16" s="542">
        <f>(T16*0.5)/HD16+BI16</f>
        <v>714310.1250697675</v>
      </c>
      <c r="HK16" s="542">
        <f t="shared" si="73"/>
        <v>226765.11906976745</v>
      </c>
      <c r="HL16" s="542">
        <f>(T16*0.5)/HD16</f>
        <v>226765.11906976745</v>
      </c>
      <c r="HM16" s="542">
        <f t="shared" si="42"/>
        <v>325030.004</v>
      </c>
      <c r="HN16" s="543"/>
      <c r="HO16" s="974">
        <f t="shared" si="62"/>
        <v>1644625.212</v>
      </c>
      <c r="HP16" s="974">
        <f t="shared" si="63"/>
        <v>1069006.3878000001</v>
      </c>
      <c r="HQ16" s="974">
        <f t="shared" si="64"/>
        <v>534503.1939000001</v>
      </c>
      <c r="HR16" s="974">
        <f t="shared" si="65"/>
        <v>374152.23573</v>
      </c>
      <c r="HS16" s="974">
        <f t="shared" si="66"/>
        <v>908655.4296300001</v>
      </c>
      <c r="HT16" s="974">
        <f t="shared" si="67"/>
        <v>160350.95817000003</v>
      </c>
      <c r="HU16" s="974">
        <f t="shared" si="68"/>
        <v>575618.8241999999</v>
      </c>
    </row>
    <row r="17" spans="1:229" s="155" customFormat="1" ht="12" customHeight="1">
      <c r="A17" s="421">
        <v>15</v>
      </c>
      <c r="B17" s="406" t="e">
        <f>IF(#REF!&gt;0,"si","no")</f>
        <v>#REF!</v>
      </c>
      <c r="C17" s="433">
        <v>31</v>
      </c>
      <c r="D17" s="474" t="s">
        <v>884</v>
      </c>
      <c r="E17" s="474" t="s">
        <v>1193</v>
      </c>
      <c r="F17" s="474" t="s">
        <v>480</v>
      </c>
      <c r="G17" s="474" t="s">
        <v>1192</v>
      </c>
      <c r="H17" s="821" t="s">
        <v>1191</v>
      </c>
      <c r="I17" s="529" t="s">
        <v>103</v>
      </c>
      <c r="J17" s="444">
        <v>438880</v>
      </c>
      <c r="K17" s="421">
        <v>65</v>
      </c>
      <c r="L17" s="410" t="str">
        <f t="shared" si="0"/>
        <v>è</v>
      </c>
      <c r="M17" s="410" t="s">
        <v>793</v>
      </c>
      <c r="N17" s="443">
        <v>72000</v>
      </c>
      <c r="O17" s="443">
        <f t="shared" si="1"/>
        <v>366880</v>
      </c>
      <c r="P17" s="443">
        <f t="shared" si="2"/>
        <v>73376</v>
      </c>
      <c r="Q17" s="411">
        <f t="shared" si="3"/>
        <v>512256</v>
      </c>
      <c r="R17" s="444">
        <f t="shared" si="4"/>
        <v>285272</v>
      </c>
      <c r="S17" s="443">
        <f t="shared" si="5"/>
        <v>47694.4</v>
      </c>
      <c r="T17" s="444">
        <f t="shared" si="6"/>
        <v>332966.4</v>
      </c>
      <c r="U17" s="411">
        <f t="shared" si="30"/>
        <v>166483.2</v>
      </c>
      <c r="V17" s="411">
        <f t="shared" si="31"/>
        <v>116538.24</v>
      </c>
      <c r="W17" s="443">
        <f t="shared" si="32"/>
        <v>283021.44</v>
      </c>
      <c r="X17" s="444">
        <f t="shared" si="7"/>
        <v>49944.96</v>
      </c>
      <c r="Y17" s="411">
        <f t="shared" si="8"/>
        <v>153608</v>
      </c>
      <c r="Z17" s="411">
        <f t="shared" si="9"/>
        <v>179289.59999999998</v>
      </c>
      <c r="AA17" s="437" t="s">
        <v>794</v>
      </c>
      <c r="AB17" s="438" t="s">
        <v>795</v>
      </c>
      <c r="AC17" s="439" t="s">
        <v>886</v>
      </c>
      <c r="AD17" s="421" t="s">
        <v>797</v>
      </c>
      <c r="AE17" s="421" t="s">
        <v>798</v>
      </c>
      <c r="AF17" s="421" t="s">
        <v>887</v>
      </c>
      <c r="AG17" s="421" t="s">
        <v>888</v>
      </c>
      <c r="AH17" s="421">
        <v>70126</v>
      </c>
      <c r="AI17" s="439" t="s">
        <v>889</v>
      </c>
      <c r="AJ17" s="440" t="s">
        <v>922</v>
      </c>
      <c r="AK17" s="421">
        <v>59</v>
      </c>
      <c r="AL17" s="421">
        <v>251</v>
      </c>
      <c r="AM17" s="445">
        <v>38166</v>
      </c>
      <c r="AN17" s="445">
        <v>38191</v>
      </c>
      <c r="AO17" s="406" t="s">
        <v>6</v>
      </c>
      <c r="AP17" s="406">
        <v>1663</v>
      </c>
      <c r="AQ17" s="675" t="s">
        <v>76</v>
      </c>
      <c r="AR17" s="421">
        <v>20</v>
      </c>
      <c r="AS17" s="679" t="s">
        <v>211</v>
      </c>
      <c r="AT17" s="679" t="s">
        <v>211</v>
      </c>
      <c r="AU17" s="472" t="s">
        <v>295</v>
      </c>
      <c r="AV17" s="476">
        <v>38307</v>
      </c>
      <c r="AW17" s="476">
        <v>38285</v>
      </c>
      <c r="AX17" s="714">
        <v>38316</v>
      </c>
      <c r="AY17" s="477" t="s">
        <v>1085</v>
      </c>
      <c r="AZ17" s="477" t="s">
        <v>1086</v>
      </c>
      <c r="BA17" s="477" t="s">
        <v>797</v>
      </c>
      <c r="BB17" s="477" t="s">
        <v>1087</v>
      </c>
      <c r="BC17" s="406" t="s">
        <v>1088</v>
      </c>
      <c r="BD17" s="477" t="s">
        <v>1089</v>
      </c>
      <c r="BE17" s="477" t="s">
        <v>621</v>
      </c>
      <c r="BF17" s="854" t="s">
        <v>104</v>
      </c>
      <c r="BG17" s="476">
        <v>38314</v>
      </c>
      <c r="BH17" s="477" t="s">
        <v>105</v>
      </c>
      <c r="BI17" s="411">
        <f t="shared" si="33"/>
        <v>99889.92</v>
      </c>
      <c r="BJ17" s="411">
        <f t="shared" si="34"/>
        <v>84906.432</v>
      </c>
      <c r="BK17" s="479" t="s">
        <v>106</v>
      </c>
      <c r="BL17" s="411">
        <f t="shared" si="43"/>
        <v>14983.488</v>
      </c>
      <c r="BM17" s="419">
        <v>2001</v>
      </c>
      <c r="BN17" s="411">
        <f t="shared" si="11"/>
        <v>34961.471999999994</v>
      </c>
      <c r="BO17" s="411"/>
      <c r="BP17" s="411"/>
      <c r="BQ17" s="410">
        <v>640</v>
      </c>
      <c r="BR17" s="441">
        <v>38320</v>
      </c>
      <c r="BS17" s="406" t="s">
        <v>154</v>
      </c>
      <c r="BT17" s="539">
        <v>5381</v>
      </c>
      <c r="BU17" s="838" t="s">
        <v>1166</v>
      </c>
      <c r="BV17" s="416">
        <v>38336</v>
      </c>
      <c r="BW17" s="430">
        <f>84906.43+14983.49</f>
        <v>99889.92</v>
      </c>
      <c r="BX17" s="878">
        <f>84906.43+14983.49</f>
        <v>99889.92</v>
      </c>
      <c r="BY17" s="542">
        <v>80855.82</v>
      </c>
      <c r="BZ17" s="409">
        <f t="shared" si="69"/>
        <v>52556.283</v>
      </c>
      <c r="CA17" s="409">
        <f aca="true" t="shared" si="74" ref="CA17:CA23">BZ17-(BZ17*0.375)</f>
        <v>32847.676875000005</v>
      </c>
      <c r="CB17" s="409">
        <f aca="true" t="shared" si="75" ref="CB17:CB23">CA17*0.85</f>
        <v>27920.525343750003</v>
      </c>
      <c r="CC17" s="409">
        <f aca="true" t="shared" si="76" ref="CC17:CC23">CA17*0.15</f>
        <v>4927.1515312500005</v>
      </c>
      <c r="CD17" s="409">
        <f aca="true" t="shared" si="77" ref="CD17:CD23">CA17*0.35</f>
        <v>11496.68690625</v>
      </c>
      <c r="CE17" s="409">
        <v>0</v>
      </c>
      <c r="CF17" s="409">
        <v>0</v>
      </c>
      <c r="CG17" s="410">
        <v>1703</v>
      </c>
      <c r="CH17" s="416">
        <v>38659</v>
      </c>
      <c r="CI17" s="702" t="s">
        <v>1317</v>
      </c>
      <c r="CJ17" s="441">
        <v>38708</v>
      </c>
      <c r="CK17" s="871">
        <f>27920.53+4927.15</f>
        <v>32847.68</v>
      </c>
      <c r="CL17" s="542">
        <v>39630.649</v>
      </c>
      <c r="CM17" s="409">
        <f>(CL17*0.65)</f>
        <v>25759.92185</v>
      </c>
      <c r="CN17" s="409">
        <f aca="true" t="shared" si="78" ref="CN17:CN23">CM17-(CM17*0.375)</f>
        <v>16099.95115625</v>
      </c>
      <c r="CO17" s="409">
        <f>CN17*0.85</f>
        <v>13684.958482812499</v>
      </c>
      <c r="CP17" s="409">
        <f>CN17*0.15</f>
        <v>2414.9926734375</v>
      </c>
      <c r="CQ17" s="409">
        <f aca="true" t="shared" si="79" ref="CQ17:CQ23">CN17*0.35</f>
        <v>5634.982904687499</v>
      </c>
      <c r="CR17" s="409">
        <v>0</v>
      </c>
      <c r="CS17" s="409">
        <v>0</v>
      </c>
      <c r="CT17" s="410">
        <v>217</v>
      </c>
      <c r="CU17" s="441">
        <v>38981</v>
      </c>
      <c r="CV17" s="702" t="s">
        <v>1024</v>
      </c>
      <c r="CW17" s="441">
        <v>38996</v>
      </c>
      <c r="CX17" s="848">
        <f>13684.96+2414.99</f>
        <v>16099.949999999999</v>
      </c>
      <c r="CY17" s="542">
        <v>144536.89</v>
      </c>
      <c r="CZ17" s="409">
        <f t="shared" si="70"/>
        <v>93948.97850000001</v>
      </c>
      <c r="DA17" s="409">
        <f t="shared" si="54"/>
        <v>58718.11156250001</v>
      </c>
      <c r="DB17" s="409">
        <f t="shared" si="55"/>
        <v>49910.394828125005</v>
      </c>
      <c r="DC17" s="409">
        <f t="shared" si="56"/>
        <v>8807.716734375</v>
      </c>
      <c r="DD17" s="409">
        <f t="shared" si="57"/>
        <v>20551.339046875</v>
      </c>
      <c r="DE17" s="409">
        <v>0</v>
      </c>
      <c r="DF17" s="409">
        <v>0</v>
      </c>
      <c r="DG17" s="410">
        <v>138</v>
      </c>
      <c r="DH17" s="441">
        <v>39224</v>
      </c>
      <c r="DI17" s="584" t="s">
        <v>1412</v>
      </c>
      <c r="DJ17" s="441">
        <v>39254</v>
      </c>
      <c r="DK17" s="743">
        <f>DA17</f>
        <v>58718.11156250001</v>
      </c>
      <c r="DL17" s="542">
        <v>144781.44</v>
      </c>
      <c r="DM17" s="409">
        <f>(DL17*0.65)</f>
        <v>94107.936</v>
      </c>
      <c r="DN17" s="409">
        <f>DM17-35290.48</f>
        <v>58817.456</v>
      </c>
      <c r="DO17" s="409">
        <f t="shared" si="61"/>
        <v>49994.8376</v>
      </c>
      <c r="DP17" s="409">
        <f t="shared" si="59"/>
        <v>8822.6184</v>
      </c>
      <c r="DQ17" s="409">
        <f t="shared" si="60"/>
        <v>20586.1096</v>
      </c>
      <c r="DR17" s="409">
        <v>0</v>
      </c>
      <c r="DS17" s="409">
        <v>0</v>
      </c>
      <c r="DT17" s="410">
        <v>219</v>
      </c>
      <c r="DU17" s="441">
        <v>39608</v>
      </c>
      <c r="DV17" s="580" t="s">
        <v>733</v>
      </c>
      <c r="DW17" s="441">
        <v>39636</v>
      </c>
      <c r="DX17" s="867">
        <f t="shared" si="71"/>
        <v>58817.456</v>
      </c>
      <c r="DY17" s="542">
        <v>33221.06</v>
      </c>
      <c r="DZ17" s="409">
        <f>(DY17*0.65)</f>
        <v>21593.689</v>
      </c>
      <c r="EA17" s="409">
        <f>DZ17</f>
        <v>21593.689</v>
      </c>
      <c r="EB17" s="409">
        <f>EA17*0.85</f>
        <v>18354.635649999997</v>
      </c>
      <c r="EC17" s="409">
        <f>EA17*0.15</f>
        <v>3239.0533499999997</v>
      </c>
      <c r="ED17" s="409">
        <f>EA17*0.35</f>
        <v>7557.791149999999</v>
      </c>
      <c r="EE17" s="409">
        <v>0</v>
      </c>
      <c r="EF17" s="409">
        <v>0</v>
      </c>
      <c r="EG17" s="410">
        <v>485</v>
      </c>
      <c r="EH17" s="445">
        <v>39751</v>
      </c>
      <c r="EI17" s="1170" t="s">
        <v>228</v>
      </c>
      <c r="EJ17" s="441">
        <v>39770</v>
      </c>
      <c r="EK17" s="743">
        <f>EA17</f>
        <v>21593.689</v>
      </c>
      <c r="EL17" s="542">
        <v>61457.26</v>
      </c>
      <c r="EM17" s="409">
        <f>(EL17*0.65)</f>
        <v>39947.219000000005</v>
      </c>
      <c r="EN17" s="409">
        <f>EM17</f>
        <v>39947.219000000005</v>
      </c>
      <c r="EO17" s="409">
        <f>EN17*0.85</f>
        <v>33955.136150000006</v>
      </c>
      <c r="EP17" s="409">
        <f>EN17*0.15</f>
        <v>5992.082850000001</v>
      </c>
      <c r="EQ17" s="409">
        <f>EN17*0.35</f>
        <v>13981.526650000002</v>
      </c>
      <c r="ER17" s="409">
        <v>0</v>
      </c>
      <c r="ES17" s="409">
        <v>0</v>
      </c>
      <c r="ET17" s="964">
        <v>109</v>
      </c>
      <c r="EU17" s="445">
        <v>39883</v>
      </c>
      <c r="EV17" s="581" t="s">
        <v>240</v>
      </c>
      <c r="EW17" s="441">
        <v>39905</v>
      </c>
      <c r="EX17" s="870">
        <f>+EN17</f>
        <v>39947.219000000005</v>
      </c>
      <c r="EY17" s="543"/>
      <c r="EZ17" s="409"/>
      <c r="FA17" s="409"/>
      <c r="FB17" s="409"/>
      <c r="FC17" s="409"/>
      <c r="FD17" s="409"/>
      <c r="FE17" s="526"/>
      <c r="FF17" s="530"/>
      <c r="FG17" s="964"/>
      <c r="FH17" s="445"/>
      <c r="FI17" s="1190"/>
      <c r="FJ17" s="472"/>
      <c r="FK17" s="543"/>
      <c r="FL17" s="472"/>
      <c r="FM17" s="472"/>
      <c r="FN17" s="472"/>
      <c r="FO17" s="472"/>
      <c r="FP17" s="472"/>
      <c r="FQ17" s="472"/>
      <c r="FR17" s="472"/>
      <c r="FS17" s="472"/>
      <c r="FT17" s="472"/>
      <c r="FU17" s="472"/>
      <c r="FV17" s="472"/>
      <c r="FW17" s="472"/>
      <c r="FX17" s="871"/>
      <c r="FY17" s="472"/>
      <c r="FZ17" s="472"/>
      <c r="GA17" s="472"/>
      <c r="GB17" s="472"/>
      <c r="GC17" s="472"/>
      <c r="GD17" s="472"/>
      <c r="GE17" s="472"/>
      <c r="GF17" s="472"/>
      <c r="GG17" s="472"/>
      <c r="GH17" s="472"/>
      <c r="GI17" s="472"/>
      <c r="GJ17" s="472"/>
      <c r="GK17" s="871"/>
      <c r="GL17" s="871"/>
      <c r="GM17" s="871"/>
      <c r="GN17" s="871"/>
      <c r="GO17" s="871"/>
      <c r="GP17" s="871"/>
      <c r="GQ17" s="871"/>
      <c r="GR17" s="871"/>
      <c r="GS17" s="871"/>
      <c r="GT17" s="871"/>
      <c r="GU17" s="871"/>
      <c r="GV17" s="871"/>
      <c r="GW17" s="871"/>
      <c r="GX17" s="871"/>
      <c r="GY17" s="899"/>
      <c r="GZ17" s="888">
        <f t="shared" si="38"/>
        <v>327914.02735</v>
      </c>
      <c r="HA17" s="443">
        <f t="shared" si="39"/>
        <v>228024.10556250004</v>
      </c>
      <c r="HB17" s="569">
        <v>38387</v>
      </c>
      <c r="HC17" s="453">
        <f>30+6</f>
        <v>36</v>
      </c>
      <c r="HD17" s="697">
        <f t="shared" si="46"/>
        <v>3</v>
      </c>
      <c r="HE17" s="441">
        <f t="shared" si="40"/>
        <v>39482</v>
      </c>
      <c r="HF17" s="444">
        <f t="shared" si="41"/>
        <v>327914.02735</v>
      </c>
      <c r="HG17" s="817">
        <v>2</v>
      </c>
      <c r="HH17" s="444">
        <f t="shared" si="48"/>
        <v>163957.013675</v>
      </c>
      <c r="HI17" s="444">
        <f t="shared" si="49"/>
        <v>245935.5205125</v>
      </c>
      <c r="HJ17" s="542">
        <f>(T17*0.5)/HD17</f>
        <v>55494.4</v>
      </c>
      <c r="HK17" s="542">
        <f t="shared" si="73"/>
        <v>55494.4</v>
      </c>
      <c r="HL17" s="542">
        <f>(T17*0.2)</f>
        <v>66593.28000000001</v>
      </c>
      <c r="HN17" s="544"/>
      <c r="HO17" s="974">
        <f t="shared" si="62"/>
        <v>504483.119</v>
      </c>
      <c r="HP17" s="974">
        <f t="shared" si="63"/>
        <v>327914.02735</v>
      </c>
      <c r="HQ17" s="974">
        <f t="shared" si="64"/>
        <v>163957.013675</v>
      </c>
      <c r="HR17" s="974">
        <f t="shared" si="65"/>
        <v>114769.9095725</v>
      </c>
      <c r="HS17" s="974">
        <f t="shared" si="66"/>
        <v>278726.9232475</v>
      </c>
      <c r="HT17" s="974">
        <f t="shared" si="67"/>
        <v>49187.104102499994</v>
      </c>
      <c r="HU17" s="974">
        <f t="shared" si="68"/>
        <v>176569.09165000002</v>
      </c>
    </row>
    <row r="18" spans="1:229" s="475" customFormat="1" ht="12" customHeight="1">
      <c r="A18" s="421">
        <v>16</v>
      </c>
      <c r="B18" s="406" t="e">
        <f>IF(#REF!&gt;0,"si","no")</f>
        <v>#REF!</v>
      </c>
      <c r="C18" s="422">
        <v>32</v>
      </c>
      <c r="D18" s="475" t="s">
        <v>388</v>
      </c>
      <c r="E18" s="477" t="s">
        <v>749</v>
      </c>
      <c r="F18" s="477"/>
      <c r="G18" s="477" t="s">
        <v>1467</v>
      </c>
      <c r="H18" s="820" t="s">
        <v>1183</v>
      </c>
      <c r="I18" s="527" t="s">
        <v>425</v>
      </c>
      <c r="J18" s="436">
        <v>934200</v>
      </c>
      <c r="K18" s="415">
        <v>65</v>
      </c>
      <c r="L18" s="410" t="str">
        <f t="shared" si="0"/>
        <v>è</v>
      </c>
      <c r="M18" s="410" t="s">
        <v>793</v>
      </c>
      <c r="N18" s="423">
        <v>535500</v>
      </c>
      <c r="O18" s="409">
        <f t="shared" si="1"/>
        <v>398700</v>
      </c>
      <c r="P18" s="409">
        <f t="shared" si="2"/>
        <v>79740</v>
      </c>
      <c r="Q18" s="411">
        <f t="shared" si="3"/>
        <v>1013940</v>
      </c>
      <c r="R18" s="411">
        <f t="shared" si="4"/>
        <v>607230</v>
      </c>
      <c r="S18" s="409">
        <f t="shared" si="5"/>
        <v>51831</v>
      </c>
      <c r="T18" s="411">
        <f t="shared" si="6"/>
        <v>659061</v>
      </c>
      <c r="U18" s="411">
        <f t="shared" si="30"/>
        <v>329530.5</v>
      </c>
      <c r="V18" s="411">
        <f t="shared" si="31"/>
        <v>230671.34999999998</v>
      </c>
      <c r="W18" s="409">
        <f t="shared" si="32"/>
        <v>560201.85</v>
      </c>
      <c r="X18" s="411">
        <f t="shared" si="7"/>
        <v>98859.15</v>
      </c>
      <c r="Y18" s="411">
        <f t="shared" si="8"/>
        <v>326970</v>
      </c>
      <c r="Z18" s="411">
        <f t="shared" si="9"/>
        <v>354879</v>
      </c>
      <c r="AA18" s="412" t="s">
        <v>794</v>
      </c>
      <c r="AB18" s="413" t="s">
        <v>795</v>
      </c>
      <c r="AC18" s="424" t="s">
        <v>813</v>
      </c>
      <c r="AD18" s="213" t="s">
        <v>814</v>
      </c>
      <c r="AE18" s="213" t="s">
        <v>798</v>
      </c>
      <c r="AF18" s="213" t="s">
        <v>815</v>
      </c>
      <c r="AG18" s="213">
        <v>2</v>
      </c>
      <c r="AH18" s="213">
        <v>70017</v>
      </c>
      <c r="AI18" s="213">
        <v>80033200728</v>
      </c>
      <c r="AJ18" s="414" t="s">
        <v>1043</v>
      </c>
      <c r="AK18" s="213">
        <v>82</v>
      </c>
      <c r="AL18" s="213">
        <v>262</v>
      </c>
      <c r="AM18" s="412" t="s">
        <v>78</v>
      </c>
      <c r="AN18" s="416">
        <v>38191</v>
      </c>
      <c r="AO18" s="406" t="s">
        <v>1044</v>
      </c>
      <c r="AP18" s="406">
        <v>1660</v>
      </c>
      <c r="AQ18" s="213">
        <v>17</v>
      </c>
      <c r="AR18" s="213">
        <v>16</v>
      </c>
      <c r="AS18" s="674" t="s">
        <v>426</v>
      </c>
      <c r="AT18" s="674" t="s">
        <v>427</v>
      </c>
      <c r="AU18" s="470" t="s">
        <v>295</v>
      </c>
      <c r="AV18" s="471">
        <v>38330</v>
      </c>
      <c r="AW18" s="471">
        <v>38296</v>
      </c>
      <c r="AX18" s="709">
        <v>38316</v>
      </c>
      <c r="AY18" s="155" t="s">
        <v>1328</v>
      </c>
      <c r="AZ18" s="155" t="s">
        <v>386</v>
      </c>
      <c r="BA18" s="155" t="s">
        <v>387</v>
      </c>
      <c r="BB18" s="155" t="s">
        <v>388</v>
      </c>
      <c r="BC18" s="432" t="s">
        <v>389</v>
      </c>
      <c r="BD18" s="155" t="s">
        <v>1329</v>
      </c>
      <c r="BE18" s="418" t="s">
        <v>1468</v>
      </c>
      <c r="BF18" s="853" t="s">
        <v>446</v>
      </c>
      <c r="BG18" s="471">
        <v>38331</v>
      </c>
      <c r="BH18" s="155" t="s">
        <v>447</v>
      </c>
      <c r="BI18" s="411">
        <f>T18*0.3</f>
        <v>197718.3</v>
      </c>
      <c r="BJ18" s="411">
        <f t="shared" si="34"/>
        <v>168060.555</v>
      </c>
      <c r="BK18" s="479" t="s">
        <v>1104</v>
      </c>
      <c r="BL18" s="411">
        <f t="shared" si="43"/>
        <v>29657.744999999995</v>
      </c>
      <c r="BM18" s="479" t="s">
        <v>1104</v>
      </c>
      <c r="BN18" s="411">
        <f t="shared" si="11"/>
        <v>69201.40499999998</v>
      </c>
      <c r="BO18" s="411"/>
      <c r="BP18" s="411"/>
      <c r="BQ18" s="539">
        <v>678</v>
      </c>
      <c r="BR18" s="416">
        <v>38337</v>
      </c>
      <c r="BS18" s="405" t="s">
        <v>154</v>
      </c>
      <c r="BT18" s="539">
        <v>5632</v>
      </c>
      <c r="BU18" s="726" t="s">
        <v>1169</v>
      </c>
      <c r="BV18" s="416">
        <v>38342</v>
      </c>
      <c r="BW18" s="430">
        <f>168060.56+29657.74</f>
        <v>197718.3</v>
      </c>
      <c r="BX18" s="878">
        <f>168060.56+29657.74</f>
        <v>197718.3</v>
      </c>
      <c r="BY18" s="542">
        <v>172770.7</v>
      </c>
      <c r="BZ18" s="409">
        <f t="shared" si="69"/>
        <v>112300.95500000002</v>
      </c>
      <c r="CA18" s="409">
        <f t="shared" si="74"/>
        <v>70188.09687500002</v>
      </c>
      <c r="CB18" s="409">
        <f t="shared" si="75"/>
        <v>59659.88234375001</v>
      </c>
      <c r="CC18" s="409">
        <f t="shared" si="76"/>
        <v>10528.214531250002</v>
      </c>
      <c r="CD18" s="409">
        <f t="shared" si="77"/>
        <v>24565.833906250005</v>
      </c>
      <c r="CE18" s="409">
        <v>0</v>
      </c>
      <c r="CF18" s="409">
        <v>0</v>
      </c>
      <c r="CG18" s="539">
        <v>433</v>
      </c>
      <c r="CH18" s="416">
        <v>38856</v>
      </c>
      <c r="CI18" s="579" t="s">
        <v>1337</v>
      </c>
      <c r="CJ18" s="416">
        <v>38883</v>
      </c>
      <c r="CK18" s="873">
        <f>59659.88+10528.22</f>
        <v>70188.09999999999</v>
      </c>
      <c r="CL18" s="542">
        <v>187454.02</v>
      </c>
      <c r="CM18" s="409">
        <f>(CL18*0.65)</f>
        <v>121845.113</v>
      </c>
      <c r="CN18" s="409">
        <f t="shared" si="78"/>
        <v>76153.195625</v>
      </c>
      <c r="CO18" s="409">
        <f>CN18*0.85</f>
        <v>64730.216281249996</v>
      </c>
      <c r="CP18" s="409">
        <f>CN18*0.15</f>
        <v>11422.97934375</v>
      </c>
      <c r="CQ18" s="409">
        <f t="shared" si="79"/>
        <v>26653.618468749995</v>
      </c>
      <c r="CR18" s="409">
        <v>0</v>
      </c>
      <c r="CS18" s="409">
        <v>0</v>
      </c>
      <c r="CT18" s="539">
        <v>85</v>
      </c>
      <c r="CU18" s="416">
        <v>39175</v>
      </c>
      <c r="CV18" s="579" t="s">
        <v>1413</v>
      </c>
      <c r="CW18" s="416">
        <v>39192</v>
      </c>
      <c r="CX18" s="847">
        <f>CN18</f>
        <v>76153.195625</v>
      </c>
      <c r="CY18" s="542">
        <v>219740.16</v>
      </c>
      <c r="CZ18" s="409">
        <f t="shared" si="70"/>
        <v>142831.10400000002</v>
      </c>
      <c r="DA18" s="409">
        <f>CZ18-109913.53</f>
        <v>32917.57400000002</v>
      </c>
      <c r="DB18" s="409">
        <f aca="true" t="shared" si="80" ref="DB18:DB23">DA18*0.85</f>
        <v>27979.93790000002</v>
      </c>
      <c r="DC18" s="409">
        <f aca="true" t="shared" si="81" ref="DC18:DC23">DA18*0.15</f>
        <v>4937.636100000003</v>
      </c>
      <c r="DD18" s="409">
        <f t="shared" si="57"/>
        <v>11521.150900000008</v>
      </c>
      <c r="DE18" s="542"/>
      <c r="DF18" s="542"/>
      <c r="DG18" s="539">
        <v>575</v>
      </c>
      <c r="DH18" s="441">
        <v>39773</v>
      </c>
      <c r="DI18" s="580" t="s">
        <v>234</v>
      </c>
      <c r="DJ18" s="416">
        <v>39786</v>
      </c>
      <c r="DK18" s="743">
        <f>DA18</f>
        <v>32917.57400000002</v>
      </c>
      <c r="DL18" s="542"/>
      <c r="DM18" s="542"/>
      <c r="DN18" s="542"/>
      <c r="DO18" s="542"/>
      <c r="DP18" s="542"/>
      <c r="DQ18" s="542"/>
      <c r="DR18" s="542"/>
      <c r="DS18" s="542"/>
      <c r="DT18" s="539"/>
      <c r="DU18" s="416"/>
      <c r="DV18" s="581"/>
      <c r="DW18" s="416"/>
      <c r="DX18" s="867">
        <f t="shared" si="71"/>
        <v>0</v>
      </c>
      <c r="DY18" s="542"/>
      <c r="DZ18" s="542"/>
      <c r="EA18" s="542"/>
      <c r="EB18" s="542"/>
      <c r="EC18" s="542"/>
      <c r="ED18" s="542"/>
      <c r="EE18" s="542"/>
      <c r="EF18" s="542"/>
      <c r="EG18" s="539"/>
      <c r="EH18" s="416"/>
      <c r="EI18" s="581"/>
      <c r="EJ18" s="416"/>
      <c r="EK18" s="743"/>
      <c r="EL18" s="542"/>
      <c r="EM18" s="542"/>
      <c r="EN18" s="542"/>
      <c r="EO18" s="542"/>
      <c r="EP18" s="542"/>
      <c r="EQ18" s="542"/>
      <c r="ER18" s="542"/>
      <c r="ES18" s="542"/>
      <c r="ET18" s="539"/>
      <c r="EU18" s="416"/>
      <c r="EV18" s="581"/>
      <c r="EW18" s="416"/>
      <c r="EX18" s="872"/>
      <c r="EY18" s="542"/>
      <c r="EZ18" s="542"/>
      <c r="FA18" s="542"/>
      <c r="FB18" s="542"/>
      <c r="FC18" s="542"/>
      <c r="FD18" s="542"/>
      <c r="FE18" s="542"/>
      <c r="FF18" s="542"/>
      <c r="FG18" s="542"/>
      <c r="FH18" s="542"/>
      <c r="FI18" s="542"/>
      <c r="FJ18" s="542"/>
      <c r="FK18" s="872">
        <f t="shared" si="72"/>
        <v>0</v>
      </c>
      <c r="FL18" s="542"/>
      <c r="FM18" s="542"/>
      <c r="FN18" s="542"/>
      <c r="FO18" s="542"/>
      <c r="FP18" s="542"/>
      <c r="FQ18" s="542"/>
      <c r="FR18" s="542"/>
      <c r="FS18" s="542"/>
      <c r="FT18" s="542"/>
      <c r="FU18" s="542"/>
      <c r="FV18" s="542"/>
      <c r="FW18" s="542"/>
      <c r="FX18" s="872"/>
      <c r="FY18" s="542"/>
      <c r="FZ18" s="542"/>
      <c r="GA18" s="542"/>
      <c r="GB18" s="542"/>
      <c r="GC18" s="542"/>
      <c r="GD18" s="542"/>
      <c r="GE18" s="542"/>
      <c r="GF18" s="542"/>
      <c r="GG18" s="542"/>
      <c r="GH18" s="542"/>
      <c r="GI18" s="542"/>
      <c r="GJ18" s="542"/>
      <c r="GK18" s="872"/>
      <c r="GL18" s="872"/>
      <c r="GM18" s="872"/>
      <c r="GN18" s="872"/>
      <c r="GO18" s="872"/>
      <c r="GP18" s="872"/>
      <c r="GQ18" s="872"/>
      <c r="GR18" s="872"/>
      <c r="GS18" s="872"/>
      <c r="GT18" s="872"/>
      <c r="GU18" s="872"/>
      <c r="GV18" s="872"/>
      <c r="GW18" s="872"/>
      <c r="GX18" s="872"/>
      <c r="GY18" s="899"/>
      <c r="GZ18" s="888">
        <f t="shared" si="38"/>
        <v>376977.172</v>
      </c>
      <c r="HA18" s="443">
        <f t="shared" si="39"/>
        <v>179258.869625</v>
      </c>
      <c r="HB18" s="566">
        <v>38139</v>
      </c>
      <c r="HC18" s="655">
        <f>36+6</f>
        <v>42</v>
      </c>
      <c r="HD18" s="697">
        <f t="shared" si="46"/>
        <v>3.5</v>
      </c>
      <c r="HE18" s="441">
        <f t="shared" si="40"/>
        <v>39416.5</v>
      </c>
      <c r="HF18" s="444">
        <f t="shared" si="41"/>
        <v>376977.172</v>
      </c>
      <c r="HG18" s="817">
        <v>1</v>
      </c>
      <c r="HH18" s="444">
        <f t="shared" si="48"/>
        <v>376977.172</v>
      </c>
      <c r="HI18" s="444">
        <f t="shared" si="49"/>
        <v>565465.758</v>
      </c>
      <c r="HJ18" s="542">
        <f>(T18*0.5)/HD18</f>
        <v>94151.57142857143</v>
      </c>
      <c r="HK18" s="542">
        <f t="shared" si="73"/>
        <v>94151.57142857143</v>
      </c>
      <c r="HL18" s="542">
        <f>(T18*0.5)/HD18</f>
        <v>94151.57142857143</v>
      </c>
      <c r="HM18" s="542">
        <f t="shared" si="42"/>
        <v>131812.2</v>
      </c>
      <c r="HN18" s="542"/>
      <c r="HO18" s="974">
        <f t="shared" si="62"/>
        <v>579964.88</v>
      </c>
      <c r="HP18" s="974">
        <f t="shared" si="63"/>
        <v>376977.172</v>
      </c>
      <c r="HQ18" s="974">
        <f t="shared" si="64"/>
        <v>188488.586</v>
      </c>
      <c r="HR18" s="974">
        <f t="shared" si="65"/>
        <v>131942.0102</v>
      </c>
      <c r="HS18" s="974">
        <f t="shared" si="66"/>
        <v>320430.5962</v>
      </c>
      <c r="HT18" s="974">
        <f t="shared" si="67"/>
        <v>56546.5758</v>
      </c>
      <c r="HU18" s="974">
        <f t="shared" si="68"/>
        <v>202987.70799999998</v>
      </c>
    </row>
    <row r="19" spans="1:229" s="477" customFormat="1" ht="12" customHeight="1">
      <c r="A19" s="421">
        <v>17</v>
      </c>
      <c r="B19" s="406" t="e">
        <f>IF(#REF!&gt;0,"si","no")</f>
        <v>#REF!</v>
      </c>
      <c r="C19" s="407">
        <v>34</v>
      </c>
      <c r="D19" s="477" t="s">
        <v>816</v>
      </c>
      <c r="E19" s="477" t="s">
        <v>750</v>
      </c>
      <c r="G19" s="477" t="s">
        <v>371</v>
      </c>
      <c r="H19" s="820" t="s">
        <v>1180</v>
      </c>
      <c r="I19" s="526" t="s">
        <v>1150</v>
      </c>
      <c r="J19" s="411">
        <v>2584036</v>
      </c>
      <c r="K19" s="410">
        <v>65</v>
      </c>
      <c r="L19" s="410" t="str">
        <f t="shared" si="0"/>
        <v>è</v>
      </c>
      <c r="M19" s="410" t="s">
        <v>793</v>
      </c>
      <c r="N19" s="409">
        <v>1396320</v>
      </c>
      <c r="O19" s="409">
        <f t="shared" si="1"/>
        <v>1187716</v>
      </c>
      <c r="P19" s="409">
        <f t="shared" si="2"/>
        <v>237543.2</v>
      </c>
      <c r="Q19" s="411">
        <f t="shared" si="3"/>
        <v>2821579.2</v>
      </c>
      <c r="R19" s="411">
        <f t="shared" si="4"/>
        <v>1679623.4</v>
      </c>
      <c r="S19" s="409">
        <f t="shared" si="5"/>
        <v>154403.08</v>
      </c>
      <c r="T19" s="411">
        <f t="shared" si="6"/>
        <v>1834026.48</v>
      </c>
      <c r="U19" s="411">
        <f t="shared" si="30"/>
        <v>917013.24</v>
      </c>
      <c r="V19" s="411">
        <f t="shared" si="31"/>
        <v>641909.2679999999</v>
      </c>
      <c r="W19" s="409">
        <f t="shared" si="32"/>
        <v>1558922.508</v>
      </c>
      <c r="X19" s="411">
        <f t="shared" si="7"/>
        <v>275103.972</v>
      </c>
      <c r="Y19" s="411">
        <f t="shared" si="8"/>
        <v>904412.6000000001</v>
      </c>
      <c r="Z19" s="411">
        <f t="shared" si="9"/>
        <v>987552.7200000002</v>
      </c>
      <c r="AA19" s="412" t="s">
        <v>794</v>
      </c>
      <c r="AB19" s="413" t="s">
        <v>795</v>
      </c>
      <c r="AC19" s="413" t="s">
        <v>817</v>
      </c>
      <c r="AD19" s="213" t="s">
        <v>797</v>
      </c>
      <c r="AE19" s="213" t="s">
        <v>798</v>
      </c>
      <c r="AF19" s="213" t="s">
        <v>824</v>
      </c>
      <c r="AG19" s="213">
        <v>4</v>
      </c>
      <c r="AH19" s="213">
        <v>70124</v>
      </c>
      <c r="AI19" s="213">
        <v>80016260723</v>
      </c>
      <c r="AJ19" s="414" t="s">
        <v>825</v>
      </c>
      <c r="AK19" s="415">
        <v>82</v>
      </c>
      <c r="AL19" s="415">
        <v>230</v>
      </c>
      <c r="AM19" s="412">
        <v>38155</v>
      </c>
      <c r="AN19" s="416">
        <v>38191</v>
      </c>
      <c r="AO19" s="406" t="s">
        <v>2</v>
      </c>
      <c r="AP19" s="406">
        <v>1653</v>
      </c>
      <c r="AQ19" s="417">
        <v>13</v>
      </c>
      <c r="AR19" s="417">
        <v>12</v>
      </c>
      <c r="AS19" s="678" t="s">
        <v>209</v>
      </c>
      <c r="AT19" s="677" t="s">
        <v>1389</v>
      </c>
      <c r="AU19" s="470" t="s">
        <v>295</v>
      </c>
      <c r="AV19" s="471">
        <v>38302</v>
      </c>
      <c r="AW19" s="471">
        <v>38274</v>
      </c>
      <c r="AX19" s="709">
        <v>38317</v>
      </c>
      <c r="AY19" s="155" t="s">
        <v>734</v>
      </c>
      <c r="AZ19" s="155" t="s">
        <v>735</v>
      </c>
      <c r="BA19" s="155" t="s">
        <v>797</v>
      </c>
      <c r="BB19" s="155" t="s">
        <v>378</v>
      </c>
      <c r="BC19" s="405" t="s">
        <v>1149</v>
      </c>
      <c r="BD19" s="155" t="s">
        <v>1138</v>
      </c>
      <c r="BE19" s="429" t="s">
        <v>1458</v>
      </c>
      <c r="BF19" s="853" t="s">
        <v>1148</v>
      </c>
      <c r="BG19" s="471">
        <v>38317</v>
      </c>
      <c r="BH19" s="155" t="s">
        <v>1145</v>
      </c>
      <c r="BI19" s="411">
        <v>503887.02</v>
      </c>
      <c r="BJ19" s="411">
        <f t="shared" si="34"/>
        <v>428303.967</v>
      </c>
      <c r="BK19" s="479" t="s">
        <v>1104</v>
      </c>
      <c r="BL19" s="411">
        <f t="shared" si="43"/>
        <v>75583.053</v>
      </c>
      <c r="BM19" s="479" t="s">
        <v>1104</v>
      </c>
      <c r="BN19" s="411">
        <f t="shared" si="11"/>
        <v>176360.457</v>
      </c>
      <c r="BO19" s="411"/>
      <c r="BP19" s="411"/>
      <c r="BQ19" s="539">
        <v>666</v>
      </c>
      <c r="BR19" s="416">
        <v>38330</v>
      </c>
      <c r="BS19" s="405" t="s">
        <v>154</v>
      </c>
      <c r="BT19" s="711" t="s">
        <v>385</v>
      </c>
      <c r="BU19" s="838" t="s">
        <v>352</v>
      </c>
      <c r="BV19" s="435">
        <v>38341</v>
      </c>
      <c r="BW19" s="430">
        <f>428303.97+75583.05</f>
        <v>503887.01999999996</v>
      </c>
      <c r="BX19" s="878">
        <f>428303.97+75583.05</f>
        <v>503887.01999999996</v>
      </c>
      <c r="BY19" s="542">
        <v>264233.88</v>
      </c>
      <c r="BZ19" s="409">
        <f t="shared" si="69"/>
        <v>171752.022</v>
      </c>
      <c r="CA19" s="409">
        <f t="shared" si="74"/>
        <v>107345.01375</v>
      </c>
      <c r="CB19" s="409">
        <f t="shared" si="75"/>
        <v>91243.2616875</v>
      </c>
      <c r="CC19" s="409">
        <f t="shared" si="76"/>
        <v>16101.7520625</v>
      </c>
      <c r="CD19" s="409">
        <f t="shared" si="77"/>
        <v>37570.754812499996</v>
      </c>
      <c r="CE19" s="409">
        <v>0</v>
      </c>
      <c r="CF19" s="409">
        <v>0</v>
      </c>
      <c r="CG19" s="539">
        <v>1632</v>
      </c>
      <c r="CH19" s="416">
        <v>38638</v>
      </c>
      <c r="CI19" s="579" t="s">
        <v>1298</v>
      </c>
      <c r="CJ19" s="416">
        <v>38653</v>
      </c>
      <c r="CK19" s="872">
        <v>107345.01</v>
      </c>
      <c r="CL19" s="542">
        <v>378455.37</v>
      </c>
      <c r="CM19" s="409">
        <f>(CL19*0.65)</f>
        <v>245995.9905</v>
      </c>
      <c r="CN19" s="409">
        <f t="shared" si="78"/>
        <v>153747.49406250002</v>
      </c>
      <c r="CO19" s="409">
        <f>CN19*0.85+0.01</f>
        <v>130685.37995312501</v>
      </c>
      <c r="CP19" s="409">
        <f>CN19*0.15-0.01</f>
        <v>23062.114109375005</v>
      </c>
      <c r="CQ19" s="409">
        <f t="shared" si="79"/>
        <v>53811.622921875</v>
      </c>
      <c r="CR19" s="409"/>
      <c r="CS19" s="409"/>
      <c r="CT19" s="539">
        <v>1949</v>
      </c>
      <c r="CU19" s="416">
        <v>38692</v>
      </c>
      <c r="CV19" s="579" t="s">
        <v>1316</v>
      </c>
      <c r="CW19" s="416">
        <v>38707</v>
      </c>
      <c r="CX19" s="743">
        <f>130685.38+23062.11</f>
        <v>153747.49</v>
      </c>
      <c r="CY19" s="542">
        <v>657185.27</v>
      </c>
      <c r="CZ19" s="409">
        <f t="shared" si="70"/>
        <v>427170.4255</v>
      </c>
      <c r="DA19" s="409">
        <f>CZ19-(CZ19*0.375)</f>
        <v>266981.5159375</v>
      </c>
      <c r="DB19" s="409">
        <f t="shared" si="80"/>
        <v>226934.28854687497</v>
      </c>
      <c r="DC19" s="409">
        <f t="shared" si="81"/>
        <v>40047.227390625</v>
      </c>
      <c r="DD19" s="409">
        <f>DA19*0.35</f>
        <v>93443.53057812499</v>
      </c>
      <c r="DE19" s="411"/>
      <c r="DF19" s="409"/>
      <c r="DG19" s="539">
        <v>19</v>
      </c>
      <c r="DH19" s="416">
        <v>39118</v>
      </c>
      <c r="DI19" s="726" t="s">
        <v>1395</v>
      </c>
      <c r="DJ19" s="416">
        <v>39133</v>
      </c>
      <c r="DK19" s="743">
        <f>229934.29+40047.23</f>
        <v>269981.52</v>
      </c>
      <c r="DL19" s="542">
        <v>356039.37</v>
      </c>
      <c r="DM19" s="409">
        <f>(DL19*0.65)</f>
        <v>231425.5905</v>
      </c>
      <c r="DN19" s="409">
        <f>DM19-(DM19*0.375)</f>
        <v>144640.9940625</v>
      </c>
      <c r="DO19" s="409">
        <f>DN19*0.85</f>
        <v>122944.84495312498</v>
      </c>
      <c r="DP19" s="409">
        <f>DN19*0.15</f>
        <v>21696.149109374997</v>
      </c>
      <c r="DQ19" s="409">
        <f>DN19*0.35</f>
        <v>50624.34792187499</v>
      </c>
      <c r="DS19" s="409"/>
      <c r="DT19" s="410">
        <v>394</v>
      </c>
      <c r="DU19" s="416">
        <v>39393</v>
      </c>
      <c r="DV19" s="580" t="s">
        <v>1423</v>
      </c>
      <c r="DW19" s="416">
        <v>39413</v>
      </c>
      <c r="DX19" s="867">
        <f t="shared" si="71"/>
        <v>144640.9940625</v>
      </c>
      <c r="DY19" s="542">
        <v>247578.25</v>
      </c>
      <c r="DZ19" s="409">
        <f>(DY19*0.65)</f>
        <v>160925.86250000002</v>
      </c>
      <c r="EA19" s="409">
        <f>DZ19-(DZ19*0.375)</f>
        <v>100578.66406250001</v>
      </c>
      <c r="EB19" s="409">
        <f>EA19*0.85</f>
        <v>85491.864453125</v>
      </c>
      <c r="EC19" s="409">
        <f>EA19*0.15</f>
        <v>15086.799609375</v>
      </c>
      <c r="ED19" s="409">
        <f>EA19*0.35</f>
        <v>35202.532421875</v>
      </c>
      <c r="EF19" s="411"/>
      <c r="EG19" s="539">
        <v>277</v>
      </c>
      <c r="EH19" s="416">
        <v>39652</v>
      </c>
      <c r="EI19" s="581" t="s">
        <v>25</v>
      </c>
      <c r="EJ19" s="416">
        <v>39661</v>
      </c>
      <c r="EK19" s="743">
        <f>EA19</f>
        <v>100578.66406250001</v>
      </c>
      <c r="EL19" s="542">
        <v>292352.5409090909</v>
      </c>
      <c r="EM19" s="409">
        <f>(EL19*0.65)</f>
        <v>190029.15159090908</v>
      </c>
      <c r="EN19" s="409">
        <f>EM19-39910.82</f>
        <v>150118.33159090907</v>
      </c>
      <c r="EO19" s="409">
        <f>EN19*0.85</f>
        <v>127600.5818522727</v>
      </c>
      <c r="EP19" s="409">
        <f>EN19*0.15</f>
        <v>22517.74973863636</v>
      </c>
      <c r="EQ19" s="409">
        <f>EN19*0.35</f>
        <v>52541.416056818176</v>
      </c>
      <c r="ES19" s="411"/>
      <c r="ET19" s="539">
        <v>522</v>
      </c>
      <c r="EU19" s="416">
        <v>39763</v>
      </c>
      <c r="EV19" s="581" t="s">
        <v>231</v>
      </c>
      <c r="EW19" s="416">
        <v>39779</v>
      </c>
      <c r="EX19" s="743">
        <f>EN19</f>
        <v>150118.33159090907</v>
      </c>
      <c r="EY19" s="542">
        <v>614331.06</v>
      </c>
      <c r="EZ19" s="409">
        <f>(EY19*0.65)</f>
        <v>399315.1890000001</v>
      </c>
      <c r="FA19" s="409">
        <f>EZ19</f>
        <v>399315.1890000001</v>
      </c>
      <c r="FB19" s="409">
        <f>FA19*0.85</f>
        <v>339417.91065000003</v>
      </c>
      <c r="FC19" s="409">
        <f>FA19*0.15</f>
        <v>59897.27835000001</v>
      </c>
      <c r="FD19" s="409">
        <f>FA19*0.35</f>
        <v>139760.31615000003</v>
      </c>
      <c r="FE19" s="477">
        <v>0</v>
      </c>
      <c r="FF19" s="409">
        <v>0</v>
      </c>
      <c r="FG19" s="540">
        <v>74</v>
      </c>
      <c r="FH19" s="445">
        <v>39850</v>
      </c>
      <c r="FI19" s="581" t="s">
        <v>238</v>
      </c>
      <c r="FJ19" s="416">
        <v>39861</v>
      </c>
      <c r="FK19" s="743">
        <f>FA19</f>
        <v>399315.1890000001</v>
      </c>
      <c r="FL19" s="543"/>
      <c r="FM19" s="409"/>
      <c r="FN19" s="409"/>
      <c r="FO19" s="409"/>
      <c r="FP19" s="409"/>
      <c r="FQ19" s="409"/>
      <c r="FR19" s="1227"/>
      <c r="FS19" s="1227"/>
      <c r="FT19" s="540"/>
      <c r="FU19" s="445"/>
      <c r="FV19" s="1190"/>
      <c r="FW19" s="543"/>
      <c r="FX19" s="870"/>
      <c r="FY19" s="542"/>
      <c r="FZ19" s="542"/>
      <c r="GA19" s="542"/>
      <c r="GB19" s="542"/>
      <c r="GC19" s="542"/>
      <c r="GD19" s="542"/>
      <c r="GE19" s="542"/>
      <c r="GF19" s="542"/>
      <c r="GG19" s="542"/>
      <c r="GH19" s="542"/>
      <c r="GI19" s="542"/>
      <c r="GJ19" s="542"/>
      <c r="GK19" s="872"/>
      <c r="GL19" s="872"/>
      <c r="GM19" s="872"/>
      <c r="GN19" s="872"/>
      <c r="GO19" s="872"/>
      <c r="GP19" s="872"/>
      <c r="GQ19" s="872"/>
      <c r="GR19" s="872"/>
      <c r="GS19" s="872"/>
      <c r="GT19" s="872"/>
      <c r="GU19" s="872"/>
      <c r="GV19" s="872"/>
      <c r="GW19" s="872"/>
      <c r="GX19" s="872"/>
      <c r="GY19" s="899"/>
      <c r="GZ19" s="888">
        <f t="shared" si="38"/>
        <v>1427299.0425909092</v>
      </c>
      <c r="HA19" s="443">
        <f t="shared" si="39"/>
        <v>926412.009715909</v>
      </c>
      <c r="HB19" s="566">
        <v>38293</v>
      </c>
      <c r="HC19" s="655">
        <f>36+5</f>
        <v>41</v>
      </c>
      <c r="HD19" s="697">
        <f t="shared" si="46"/>
        <v>3.4166666666666665</v>
      </c>
      <c r="HE19" s="441">
        <f t="shared" si="40"/>
        <v>39540.083333333336</v>
      </c>
      <c r="HF19" s="444">
        <f t="shared" si="41"/>
        <v>1427299.0425909092</v>
      </c>
      <c r="HG19" s="817">
        <v>2</v>
      </c>
      <c r="HH19" s="444">
        <f t="shared" si="48"/>
        <v>713649.5212954546</v>
      </c>
      <c r="HI19" s="444">
        <f t="shared" si="49"/>
        <v>1070474.281943182</v>
      </c>
      <c r="HJ19" s="542">
        <f>(T19*0.5)/HD19</f>
        <v>268394.11902439024</v>
      </c>
      <c r="HK19" s="542">
        <f t="shared" si="73"/>
        <v>268394.11902439024</v>
      </c>
      <c r="HL19" s="542">
        <f>(T19*0.5)/HD19</f>
        <v>268394.11902439024</v>
      </c>
      <c r="HM19" s="542">
        <f t="shared" si="42"/>
        <v>366805.29600000003</v>
      </c>
      <c r="HN19" s="542"/>
      <c r="HO19" s="974">
        <f t="shared" si="62"/>
        <v>2810175.740909091</v>
      </c>
      <c r="HP19" s="974">
        <f t="shared" si="63"/>
        <v>1826614.2315909094</v>
      </c>
      <c r="HQ19" s="974">
        <f t="shared" si="64"/>
        <v>913307.1157954547</v>
      </c>
      <c r="HR19" s="974">
        <f t="shared" si="65"/>
        <v>639314.9810568183</v>
      </c>
      <c r="HS19" s="974">
        <f t="shared" si="66"/>
        <v>1552622.096852273</v>
      </c>
      <c r="HT19" s="974">
        <f t="shared" si="67"/>
        <v>273992.1347386364</v>
      </c>
      <c r="HU19" s="974">
        <f t="shared" si="68"/>
        <v>983561.5093181818</v>
      </c>
    </row>
    <row r="20" spans="1:229" s="1031" customFormat="1" ht="12" customHeight="1">
      <c r="A20" s="979">
        <v>18</v>
      </c>
      <c r="B20" s="980" t="e">
        <f>IF(#REF!&gt;0,"si","no")</f>
        <v>#REF!</v>
      </c>
      <c r="C20" s="981">
        <v>39</v>
      </c>
      <c r="D20" s="982" t="s">
        <v>847</v>
      </c>
      <c r="E20" s="982" t="s">
        <v>751</v>
      </c>
      <c r="F20" s="982"/>
      <c r="G20" s="982" t="s">
        <v>1403</v>
      </c>
      <c r="H20" s="983" t="s">
        <v>1194</v>
      </c>
      <c r="I20" s="984" t="s">
        <v>155</v>
      </c>
      <c r="J20" s="985">
        <v>659925</v>
      </c>
      <c r="K20" s="986">
        <v>65</v>
      </c>
      <c r="L20" s="986" t="str">
        <f t="shared" si="0"/>
        <v>è</v>
      </c>
      <c r="M20" s="986" t="s">
        <v>793</v>
      </c>
      <c r="N20" s="985">
        <v>221500</v>
      </c>
      <c r="O20" s="985">
        <f t="shared" si="1"/>
        <v>438425</v>
      </c>
      <c r="P20" s="985">
        <f t="shared" si="2"/>
        <v>87685</v>
      </c>
      <c r="Q20" s="985">
        <f t="shared" si="3"/>
        <v>747610</v>
      </c>
      <c r="R20" s="985">
        <f t="shared" si="4"/>
        <v>428951.25</v>
      </c>
      <c r="S20" s="985">
        <f t="shared" si="5"/>
        <v>56995.25</v>
      </c>
      <c r="T20" s="985">
        <f t="shared" si="6"/>
        <v>485946.5</v>
      </c>
      <c r="U20" s="985">
        <f t="shared" si="30"/>
        <v>242973.25</v>
      </c>
      <c r="V20" s="985">
        <f t="shared" si="31"/>
        <v>170081.275</v>
      </c>
      <c r="W20" s="985">
        <f t="shared" si="32"/>
        <v>413054.52499999997</v>
      </c>
      <c r="X20" s="985">
        <f t="shared" si="7"/>
        <v>72891.97499999999</v>
      </c>
      <c r="Y20" s="985">
        <f t="shared" si="8"/>
        <v>230973.75</v>
      </c>
      <c r="Z20" s="985">
        <f t="shared" si="9"/>
        <v>261663.5</v>
      </c>
      <c r="AA20" s="1014" t="s">
        <v>794</v>
      </c>
      <c r="AB20" s="1015" t="s">
        <v>795</v>
      </c>
      <c r="AC20" s="1015" t="s">
        <v>848</v>
      </c>
      <c r="AD20" s="1016" t="s">
        <v>849</v>
      </c>
      <c r="AE20" s="1016" t="s">
        <v>804</v>
      </c>
      <c r="AF20" s="1016" t="s">
        <v>850</v>
      </c>
      <c r="AG20" s="1016">
        <v>97</v>
      </c>
      <c r="AH20" s="1016">
        <v>73010</v>
      </c>
      <c r="AI20" s="1017" t="s">
        <v>43</v>
      </c>
      <c r="AJ20" s="1018" t="s">
        <v>48</v>
      </c>
      <c r="AK20" s="1019">
        <v>73</v>
      </c>
      <c r="AL20" s="1019">
        <v>268</v>
      </c>
      <c r="AM20" s="567">
        <v>38177</v>
      </c>
      <c r="AN20" s="567">
        <v>38238</v>
      </c>
      <c r="AO20" s="980" t="s">
        <v>65</v>
      </c>
      <c r="AP20" s="980">
        <v>1679</v>
      </c>
      <c r="AQ20" s="1019">
        <v>32</v>
      </c>
      <c r="AR20" s="1019">
        <v>27</v>
      </c>
      <c r="AS20" s="1020" t="s">
        <v>172</v>
      </c>
      <c r="AT20" s="1021" t="s">
        <v>172</v>
      </c>
      <c r="AU20" s="861" t="s">
        <v>295</v>
      </c>
      <c r="AV20" s="1022">
        <v>38316</v>
      </c>
      <c r="AW20" s="1022">
        <v>38278</v>
      </c>
      <c r="AX20" s="1023">
        <v>38313</v>
      </c>
      <c r="AY20" s="1024" t="s">
        <v>146</v>
      </c>
      <c r="AZ20" s="1024" t="s">
        <v>147</v>
      </c>
      <c r="BA20" s="1024" t="s">
        <v>803</v>
      </c>
      <c r="BB20" s="1024" t="s">
        <v>148</v>
      </c>
      <c r="BC20" s="1017" t="s">
        <v>149</v>
      </c>
      <c r="BD20" s="1024" t="s">
        <v>150</v>
      </c>
      <c r="BE20" s="1024" t="s">
        <v>1466</v>
      </c>
      <c r="BF20" s="1025" t="s">
        <v>151</v>
      </c>
      <c r="BG20" s="1022">
        <v>38300</v>
      </c>
      <c r="BH20" s="1024" t="s">
        <v>152</v>
      </c>
      <c r="BI20" s="985">
        <f t="shared" si="33"/>
        <v>145783.94999999998</v>
      </c>
      <c r="BJ20" s="985">
        <f t="shared" si="34"/>
        <v>123916.35749999998</v>
      </c>
      <c r="BK20" s="996" t="s">
        <v>1104</v>
      </c>
      <c r="BL20" s="985">
        <f t="shared" si="43"/>
        <v>21867.592499999995</v>
      </c>
      <c r="BM20" s="996" t="s">
        <v>1104</v>
      </c>
      <c r="BN20" s="985">
        <f t="shared" si="11"/>
        <v>51024.38249999999</v>
      </c>
      <c r="BO20" s="985"/>
      <c r="BP20" s="985"/>
      <c r="BQ20" s="998">
        <v>651</v>
      </c>
      <c r="BR20" s="566">
        <v>38321</v>
      </c>
      <c r="BS20" s="1026" t="s">
        <v>154</v>
      </c>
      <c r="BT20" s="1004" t="s">
        <v>1147</v>
      </c>
      <c r="BU20" s="1005" t="s">
        <v>348</v>
      </c>
      <c r="BV20" s="1027">
        <v>38338</v>
      </c>
      <c r="BW20" s="1000">
        <f>123916.36+21867.59</f>
        <v>145783.95</v>
      </c>
      <c r="BX20" s="1001">
        <f>123916.36+21867.59</f>
        <v>145783.95</v>
      </c>
      <c r="BY20" s="743">
        <v>187170.41</v>
      </c>
      <c r="BZ20" s="985">
        <f t="shared" si="69"/>
        <v>121660.76650000001</v>
      </c>
      <c r="CA20" s="985">
        <f t="shared" si="74"/>
        <v>76037.9790625</v>
      </c>
      <c r="CB20" s="985">
        <f t="shared" si="75"/>
        <v>64632.282203125</v>
      </c>
      <c r="CC20" s="985">
        <f t="shared" si="76"/>
        <v>11405.696859375</v>
      </c>
      <c r="CD20" s="985">
        <f t="shared" si="77"/>
        <v>26613.292671875</v>
      </c>
      <c r="CE20" s="985">
        <v>0</v>
      </c>
      <c r="CF20" s="985">
        <v>0</v>
      </c>
      <c r="CG20" s="998">
        <v>1330</v>
      </c>
      <c r="CH20" s="566">
        <v>38527</v>
      </c>
      <c r="CI20" s="1002" t="s">
        <v>1059</v>
      </c>
      <c r="CJ20" s="566">
        <v>38559</v>
      </c>
      <c r="CK20" s="743">
        <f>64632.28+11405.7</f>
        <v>76037.98</v>
      </c>
      <c r="CL20" s="743">
        <v>54751.34</v>
      </c>
      <c r="CM20" s="985">
        <f>(CL20*0.65)</f>
        <v>35588.371</v>
      </c>
      <c r="CN20" s="985">
        <f t="shared" si="78"/>
        <v>22242.731874999998</v>
      </c>
      <c r="CO20" s="985">
        <f>CN20*0.85</f>
        <v>18906.322093749997</v>
      </c>
      <c r="CP20" s="985">
        <f>CN20*0.15</f>
        <v>3336.4097812499995</v>
      </c>
      <c r="CQ20" s="985">
        <f t="shared" si="79"/>
        <v>7784.9561562499985</v>
      </c>
      <c r="CR20" s="985"/>
      <c r="CS20" s="985"/>
      <c r="CT20" s="998">
        <v>1635</v>
      </c>
      <c r="CU20" s="566">
        <v>38638</v>
      </c>
      <c r="CV20" s="1002" t="s">
        <v>1300</v>
      </c>
      <c r="CW20" s="566">
        <v>38653</v>
      </c>
      <c r="CX20" s="743">
        <v>22242.73</v>
      </c>
      <c r="CY20" s="743">
        <v>129408.57</v>
      </c>
      <c r="CZ20" s="985">
        <f t="shared" si="70"/>
        <v>84115.5705</v>
      </c>
      <c r="DA20" s="985">
        <f>CZ20-(CZ20*0.375)</f>
        <v>52572.231562500005</v>
      </c>
      <c r="DB20" s="985">
        <f t="shared" si="80"/>
        <v>44686.396828125005</v>
      </c>
      <c r="DC20" s="985">
        <f t="shared" si="81"/>
        <v>7885.834734375</v>
      </c>
      <c r="DD20" s="985">
        <f>DA20*0.35</f>
        <v>18400.281046875</v>
      </c>
      <c r="DE20" s="985">
        <v>0</v>
      </c>
      <c r="DF20" s="985">
        <v>0</v>
      </c>
      <c r="DG20" s="986">
        <v>434</v>
      </c>
      <c r="DH20" s="566">
        <v>38856</v>
      </c>
      <c r="DI20" s="579" t="s">
        <v>1336</v>
      </c>
      <c r="DJ20" s="566">
        <v>38883</v>
      </c>
      <c r="DK20" s="743">
        <f>44686.4+7885.83</f>
        <v>52572.23</v>
      </c>
      <c r="DL20" s="743">
        <v>127126.06</v>
      </c>
      <c r="DM20" s="985">
        <f>(DL20*0.65)</f>
        <v>82631.939</v>
      </c>
      <c r="DN20" s="985">
        <f>DM20-(DM20*0.375)</f>
        <v>51644.961875</v>
      </c>
      <c r="DO20" s="985">
        <f>DN20*0.85</f>
        <v>43898.21759375</v>
      </c>
      <c r="DP20" s="985">
        <f>DN20*0.15</f>
        <v>7746.744281249999</v>
      </c>
      <c r="DQ20" s="985">
        <f>DN20*0.35</f>
        <v>18075.73665625</v>
      </c>
      <c r="DR20" s="409">
        <v>0</v>
      </c>
      <c r="DS20" s="409">
        <v>0</v>
      </c>
      <c r="DT20" s="1004" t="s">
        <v>1377</v>
      </c>
      <c r="DU20" s="566">
        <v>39027</v>
      </c>
      <c r="DV20" s="1002" t="s">
        <v>1380</v>
      </c>
      <c r="DW20" s="566">
        <v>39042</v>
      </c>
      <c r="DX20" s="867">
        <f t="shared" si="71"/>
        <v>51644.961875</v>
      </c>
      <c r="DY20" s="743">
        <v>119201.26</v>
      </c>
      <c r="DZ20" s="985">
        <f>(DY20*0.65)</f>
        <v>77480.819</v>
      </c>
      <c r="EA20" s="985">
        <f>DZ20-(DZ20*0.375)</f>
        <v>48425.511875000004</v>
      </c>
      <c r="EB20" s="985">
        <f>EA20*0.85-0.01</f>
        <v>41161.675093750004</v>
      </c>
      <c r="EC20" s="985">
        <f>EA20*0.15</f>
        <v>7263.826781250001</v>
      </c>
      <c r="ED20" s="985">
        <f>EA20*0.35</f>
        <v>16948.92915625</v>
      </c>
      <c r="EE20" s="985">
        <v>0</v>
      </c>
      <c r="EF20" s="985">
        <v>0</v>
      </c>
      <c r="EG20" s="998">
        <v>84</v>
      </c>
      <c r="EH20" s="566">
        <v>39175</v>
      </c>
      <c r="EI20" s="1028" t="s">
        <v>1414</v>
      </c>
      <c r="EJ20" s="566">
        <v>39192</v>
      </c>
      <c r="EK20" s="743">
        <f>EA20</f>
        <v>48425.511875000004</v>
      </c>
      <c r="EL20" s="743">
        <f>696187.1-DY20-DL20-CY20-CL20-BY20</f>
        <v>78529.45999999999</v>
      </c>
      <c r="EM20" s="985">
        <v>55814.252</v>
      </c>
      <c r="EN20" s="985">
        <f>EM20</f>
        <v>55814.252</v>
      </c>
      <c r="EO20" s="985">
        <f>EN20*0.85</f>
        <v>47442.114199999996</v>
      </c>
      <c r="EP20" s="985">
        <f>EN20*0.15</f>
        <v>8372.1378</v>
      </c>
      <c r="EQ20" s="985">
        <f>EN20*0.35</f>
        <v>19534.9882</v>
      </c>
      <c r="ER20" s="985">
        <v>0</v>
      </c>
      <c r="ES20" s="985">
        <v>0</v>
      </c>
      <c r="ET20" s="410">
        <v>488</v>
      </c>
      <c r="EU20" s="416">
        <v>39751</v>
      </c>
      <c r="EV20" s="581" t="s">
        <v>226</v>
      </c>
      <c r="EW20" s="416">
        <v>39765</v>
      </c>
      <c r="EX20" s="743"/>
      <c r="EY20" s="743"/>
      <c r="EZ20" s="743"/>
      <c r="FA20" s="743"/>
      <c r="FB20" s="743"/>
      <c r="FC20" s="743"/>
      <c r="FD20" s="743"/>
      <c r="FE20" s="743"/>
      <c r="FF20" s="743"/>
      <c r="FG20" s="743"/>
      <c r="FH20" s="743"/>
      <c r="FI20" s="743"/>
      <c r="FJ20" s="743"/>
      <c r="FK20" s="743">
        <f t="shared" si="72"/>
        <v>0</v>
      </c>
      <c r="FL20" s="743"/>
      <c r="FM20" s="743"/>
      <c r="FN20" s="743"/>
      <c r="FO20" s="743"/>
      <c r="FP20" s="743"/>
      <c r="FQ20" s="743"/>
      <c r="FR20" s="743"/>
      <c r="FS20" s="743"/>
      <c r="FT20" s="743"/>
      <c r="FU20" s="743"/>
      <c r="FV20" s="743"/>
      <c r="FW20" s="743"/>
      <c r="FX20" s="743"/>
      <c r="FY20" s="743"/>
      <c r="FZ20" s="743"/>
      <c r="GA20" s="743"/>
      <c r="GB20" s="743"/>
      <c r="GC20" s="743"/>
      <c r="GD20" s="743"/>
      <c r="GE20" s="743"/>
      <c r="GF20" s="743"/>
      <c r="GG20" s="743"/>
      <c r="GH20" s="743"/>
      <c r="GI20" s="743"/>
      <c r="GJ20" s="743"/>
      <c r="GK20" s="743"/>
      <c r="GL20" s="743"/>
      <c r="GM20" s="743"/>
      <c r="GN20" s="743"/>
      <c r="GO20" s="743"/>
      <c r="GP20" s="743"/>
      <c r="GQ20" s="743"/>
      <c r="GR20" s="743"/>
      <c r="GS20" s="743"/>
      <c r="GT20" s="743"/>
      <c r="GU20" s="743"/>
      <c r="GV20" s="743"/>
      <c r="GW20" s="743"/>
      <c r="GX20" s="743"/>
      <c r="GY20" s="1010"/>
      <c r="GZ20" s="1009">
        <f t="shared" si="38"/>
        <v>457291.71800000005</v>
      </c>
      <c r="HA20" s="1008">
        <f t="shared" si="39"/>
        <v>250923.41375</v>
      </c>
      <c r="HB20" s="566">
        <v>37988</v>
      </c>
      <c r="HC20" s="998">
        <f>36+6</f>
        <v>42</v>
      </c>
      <c r="HD20" s="1011">
        <f t="shared" si="46"/>
        <v>3.5</v>
      </c>
      <c r="HE20" s="1030">
        <f t="shared" si="40"/>
        <v>39265.5</v>
      </c>
      <c r="HF20" s="1008">
        <f t="shared" si="41"/>
        <v>457291.71800000005</v>
      </c>
      <c r="HG20" s="1012">
        <v>3</v>
      </c>
      <c r="HH20" s="1008">
        <f t="shared" si="48"/>
        <v>152430.57266666667</v>
      </c>
      <c r="HI20" s="1008">
        <f t="shared" si="49"/>
        <v>228645.859</v>
      </c>
      <c r="HJ20" s="743">
        <f>(T20*0.5)/HD20</f>
        <v>69420.92857142857</v>
      </c>
      <c r="HK20" s="743">
        <f t="shared" si="73"/>
        <v>69420.92857142857</v>
      </c>
      <c r="HL20" s="743">
        <f>(T20*0.5)/HD20</f>
        <v>69420.92857142857</v>
      </c>
      <c r="HM20" s="743">
        <f t="shared" si="42"/>
        <v>97189.3</v>
      </c>
      <c r="HN20" s="743"/>
      <c r="HO20" s="1013">
        <f t="shared" si="62"/>
        <v>696187.1</v>
      </c>
      <c r="HP20" s="1013">
        <f t="shared" si="63"/>
        <v>457291.71800000005</v>
      </c>
      <c r="HQ20" s="1013">
        <f t="shared" si="64"/>
        <v>228645.85900000003</v>
      </c>
      <c r="HR20" s="1013">
        <f t="shared" si="65"/>
        <v>160052.1013</v>
      </c>
      <c r="HS20" s="1013">
        <f t="shared" si="66"/>
        <v>388697.96030000004</v>
      </c>
      <c r="HT20" s="1013">
        <f t="shared" si="67"/>
        <v>68593.7577</v>
      </c>
      <c r="HU20" s="1013">
        <f t="shared" si="68"/>
        <v>238895.38199999993</v>
      </c>
    </row>
    <row r="21" spans="1:229" s="155" customFormat="1" ht="12" customHeight="1">
      <c r="A21" s="421">
        <v>19</v>
      </c>
      <c r="B21" s="406" t="e">
        <f>IF(#REF!&gt;0,"si","no")</f>
        <v>#REF!</v>
      </c>
      <c r="C21" s="407">
        <v>41</v>
      </c>
      <c r="D21" s="477" t="s">
        <v>808</v>
      </c>
      <c r="E21" s="477" t="s">
        <v>752</v>
      </c>
      <c r="F21" s="477"/>
      <c r="G21" s="477" t="s">
        <v>1334</v>
      </c>
      <c r="H21" s="820" t="s">
        <v>1195</v>
      </c>
      <c r="I21" s="526" t="s">
        <v>23</v>
      </c>
      <c r="J21" s="411">
        <v>1500000</v>
      </c>
      <c r="K21" s="410">
        <v>50</v>
      </c>
      <c r="L21" s="410" t="str">
        <f t="shared" si="0"/>
        <v>non è</v>
      </c>
      <c r="M21" s="410" t="s">
        <v>809</v>
      </c>
      <c r="N21" s="409">
        <v>915000</v>
      </c>
      <c r="O21" s="409">
        <f t="shared" si="1"/>
        <v>585000</v>
      </c>
      <c r="P21" s="409">
        <f t="shared" si="2"/>
        <v>117000</v>
      </c>
      <c r="Q21" s="411">
        <f t="shared" si="3"/>
        <v>1617000</v>
      </c>
      <c r="R21" s="411">
        <f t="shared" si="4"/>
        <v>750000</v>
      </c>
      <c r="S21" s="409">
        <f t="shared" si="5"/>
        <v>58500</v>
      </c>
      <c r="T21" s="411">
        <f t="shared" si="6"/>
        <v>808500</v>
      </c>
      <c r="U21" s="411">
        <f t="shared" si="30"/>
        <v>404250</v>
      </c>
      <c r="V21" s="411">
        <f t="shared" si="31"/>
        <v>282975</v>
      </c>
      <c r="W21" s="409">
        <f t="shared" si="32"/>
        <v>687225</v>
      </c>
      <c r="X21" s="411">
        <f t="shared" si="7"/>
        <v>121275</v>
      </c>
      <c r="Y21" s="411">
        <f t="shared" si="8"/>
        <v>750000</v>
      </c>
      <c r="Z21" s="411">
        <f t="shared" si="9"/>
        <v>808500</v>
      </c>
      <c r="AA21" s="412" t="s">
        <v>794</v>
      </c>
      <c r="AB21" s="413" t="s">
        <v>795</v>
      </c>
      <c r="AC21" s="413" t="s">
        <v>810</v>
      </c>
      <c r="AD21" s="213" t="s">
        <v>803</v>
      </c>
      <c r="AE21" s="213" t="s">
        <v>804</v>
      </c>
      <c r="AF21" s="213" t="s">
        <v>811</v>
      </c>
      <c r="AG21" s="213">
        <v>31</v>
      </c>
      <c r="AH21" s="213">
        <v>73100</v>
      </c>
      <c r="AI21" s="213">
        <v>80001570755</v>
      </c>
      <c r="AJ21" s="414" t="s">
        <v>1046</v>
      </c>
      <c r="AK21" s="415">
        <v>85</v>
      </c>
      <c r="AL21" s="415">
        <v>205</v>
      </c>
      <c r="AM21" s="412" t="s">
        <v>999</v>
      </c>
      <c r="AN21" s="416">
        <v>38191</v>
      </c>
      <c r="AO21" s="406" t="s">
        <v>3</v>
      </c>
      <c r="AP21" s="406">
        <v>1654</v>
      </c>
      <c r="AQ21" s="417">
        <v>22</v>
      </c>
      <c r="AR21" s="417">
        <v>18</v>
      </c>
      <c r="AS21" s="678" t="s">
        <v>208</v>
      </c>
      <c r="AT21" s="677" t="s">
        <v>169</v>
      </c>
      <c r="AU21" s="470" t="s">
        <v>295</v>
      </c>
      <c r="AV21" s="471">
        <v>38559</v>
      </c>
      <c r="AW21" s="471">
        <v>38370</v>
      </c>
      <c r="AX21" s="416">
        <v>38679</v>
      </c>
      <c r="AY21" s="155" t="s">
        <v>248</v>
      </c>
      <c r="AZ21" s="155" t="s">
        <v>222</v>
      </c>
      <c r="BA21" s="155" t="s">
        <v>803</v>
      </c>
      <c r="BB21" s="155" t="s">
        <v>249</v>
      </c>
      <c r="BC21" s="432" t="s">
        <v>243</v>
      </c>
      <c r="BD21" s="155" t="s">
        <v>245</v>
      </c>
      <c r="BE21" s="155" t="s">
        <v>1461</v>
      </c>
      <c r="BF21" s="853" t="s">
        <v>246</v>
      </c>
      <c r="BG21" s="471">
        <v>38684</v>
      </c>
      <c r="BH21" s="155" t="s">
        <v>247</v>
      </c>
      <c r="BI21" s="411">
        <v>225000</v>
      </c>
      <c r="BJ21" s="411">
        <f t="shared" si="34"/>
        <v>191250</v>
      </c>
      <c r="BK21" s="479" t="s">
        <v>1104</v>
      </c>
      <c r="BL21" s="411">
        <f t="shared" si="43"/>
        <v>33750</v>
      </c>
      <c r="BM21" s="479" t="s">
        <v>1104</v>
      </c>
      <c r="BN21" s="411">
        <f t="shared" si="11"/>
        <v>78750</v>
      </c>
      <c r="BO21" s="411"/>
      <c r="BP21" s="411"/>
      <c r="BQ21" s="539">
        <v>1942</v>
      </c>
      <c r="BR21" s="416">
        <v>38692</v>
      </c>
      <c r="BS21" s="405" t="s">
        <v>154</v>
      </c>
      <c r="BT21" s="537"/>
      <c r="BU21" s="579" t="s">
        <v>1323</v>
      </c>
      <c r="BV21" s="416">
        <v>38715</v>
      </c>
      <c r="BW21" s="430">
        <f>191250+33750</f>
        <v>225000</v>
      </c>
      <c r="BX21" s="878">
        <f>BI21</f>
        <v>225000</v>
      </c>
      <c r="BY21" s="542">
        <v>119318.23</v>
      </c>
      <c r="BZ21" s="409">
        <f>(BY21*0.5)</f>
        <v>59659.115</v>
      </c>
      <c r="CA21" s="409">
        <f>BZ21-(BZ21*0.375)-0.01</f>
        <v>37286.93687499999</v>
      </c>
      <c r="CB21" s="409">
        <f t="shared" si="75"/>
        <v>31693.89634374999</v>
      </c>
      <c r="CC21" s="409">
        <f t="shared" si="76"/>
        <v>5593.040531249999</v>
      </c>
      <c r="CD21" s="409">
        <f t="shared" si="77"/>
        <v>13050.427906249997</v>
      </c>
      <c r="CE21" s="409">
        <v>0</v>
      </c>
      <c r="CF21" s="409">
        <v>0</v>
      </c>
      <c r="CG21" s="539">
        <v>435</v>
      </c>
      <c r="CH21" s="416">
        <v>38856</v>
      </c>
      <c r="CI21" s="726" t="s">
        <v>428</v>
      </c>
      <c r="CJ21" s="416">
        <v>38896</v>
      </c>
      <c r="CK21" s="872">
        <f>31693.9+5593.04</f>
        <v>37286.94</v>
      </c>
      <c r="CL21" s="542">
        <v>395867.96</v>
      </c>
      <c r="CM21" s="409">
        <f>(CL21*0.5)</f>
        <v>197933.98</v>
      </c>
      <c r="CN21" s="409">
        <f t="shared" si="78"/>
        <v>123708.7375</v>
      </c>
      <c r="CO21" s="409">
        <f>CN21*0.85</f>
        <v>105152.426875</v>
      </c>
      <c r="CP21" s="409">
        <f>CN21*0.15</f>
        <v>18556.310625</v>
      </c>
      <c r="CQ21" s="409">
        <f t="shared" si="79"/>
        <v>43298.058124999996</v>
      </c>
      <c r="CR21" s="409">
        <v>0</v>
      </c>
      <c r="CS21" s="409">
        <v>0</v>
      </c>
      <c r="CT21" s="539">
        <v>228</v>
      </c>
      <c r="CU21" s="416">
        <v>38993</v>
      </c>
      <c r="CV21" s="702" t="s">
        <v>95</v>
      </c>
      <c r="CW21" s="416">
        <v>39017</v>
      </c>
      <c r="CX21" s="743">
        <f>105152.43+18556.31</f>
        <v>123708.73999999999</v>
      </c>
      <c r="CY21" s="542">
        <v>209564.04</v>
      </c>
      <c r="CZ21" s="409">
        <f>(CY21*0.5)</f>
        <v>104782.02</v>
      </c>
      <c r="DA21" s="409">
        <f>CZ21-(CZ21*0.375)</f>
        <v>65488.762500000004</v>
      </c>
      <c r="DB21" s="409">
        <f t="shared" si="80"/>
        <v>55665.448125</v>
      </c>
      <c r="DC21" s="409">
        <f t="shared" si="81"/>
        <v>9823.314375</v>
      </c>
      <c r="DD21" s="409">
        <f>DA21*0.35</f>
        <v>22921.066875</v>
      </c>
      <c r="DE21" s="409">
        <v>0</v>
      </c>
      <c r="DF21" s="409">
        <v>0</v>
      </c>
      <c r="DG21" s="539">
        <v>51</v>
      </c>
      <c r="DH21" s="416">
        <v>39147</v>
      </c>
      <c r="DI21" s="838" t="s">
        <v>1399</v>
      </c>
      <c r="DJ21" s="416">
        <v>39155</v>
      </c>
      <c r="DK21" s="743">
        <f>55665.45+9823.31</f>
        <v>65488.759999999995</v>
      </c>
      <c r="DL21" s="542">
        <v>456783.02</v>
      </c>
      <c r="DM21" s="409">
        <f>(DL21*0.5)</f>
        <v>228391.51</v>
      </c>
      <c r="DN21" s="409">
        <f>DM21-89109.33</f>
        <v>139282.18</v>
      </c>
      <c r="DO21" s="409">
        <f>DN21*0.85</f>
        <v>118389.85299999999</v>
      </c>
      <c r="DP21" s="409">
        <f>DN21*0.15</f>
        <v>20892.326999999997</v>
      </c>
      <c r="DQ21" s="409">
        <f>DN21*0.35</f>
        <v>48748.76299999999</v>
      </c>
      <c r="DR21" s="409">
        <v>0</v>
      </c>
      <c r="DS21" s="409">
        <v>0</v>
      </c>
      <c r="DT21" s="410">
        <v>486</v>
      </c>
      <c r="DU21" s="416">
        <v>39751</v>
      </c>
      <c r="DV21" s="581" t="s">
        <v>229</v>
      </c>
      <c r="DW21" s="416">
        <v>39765</v>
      </c>
      <c r="DX21" s="867">
        <f t="shared" si="71"/>
        <v>139282.18</v>
      </c>
      <c r="DY21" s="542"/>
      <c r="DZ21" s="542"/>
      <c r="EA21" s="542"/>
      <c r="EB21" s="542"/>
      <c r="EC21" s="542"/>
      <c r="ED21" s="542"/>
      <c r="EE21" s="542"/>
      <c r="EF21" s="542"/>
      <c r="EG21" s="539"/>
      <c r="EH21" s="416"/>
      <c r="EI21" s="581"/>
      <c r="EJ21" s="416"/>
      <c r="EK21" s="743"/>
      <c r="EL21" s="542"/>
      <c r="EM21" s="542"/>
      <c r="EN21" s="542"/>
      <c r="EO21" s="542"/>
      <c r="EP21" s="542"/>
      <c r="EQ21" s="542"/>
      <c r="ER21" s="542"/>
      <c r="ES21" s="542"/>
      <c r="ET21" s="539"/>
      <c r="EU21" s="416"/>
      <c r="EV21" s="581"/>
      <c r="EW21" s="416"/>
      <c r="EX21" s="872"/>
      <c r="EY21" s="542"/>
      <c r="EZ21" s="542"/>
      <c r="FA21" s="542"/>
      <c r="FB21" s="542"/>
      <c r="FC21" s="542"/>
      <c r="FD21" s="542"/>
      <c r="FE21" s="542"/>
      <c r="FF21" s="542"/>
      <c r="FG21" s="542"/>
      <c r="FH21" s="542"/>
      <c r="FI21" s="542"/>
      <c r="FJ21" s="542"/>
      <c r="FK21" s="872">
        <f t="shared" si="72"/>
        <v>0</v>
      </c>
      <c r="FL21" s="542"/>
      <c r="FM21" s="542"/>
      <c r="FN21" s="542"/>
      <c r="FO21" s="542"/>
      <c r="FP21" s="542"/>
      <c r="FQ21" s="542"/>
      <c r="FR21" s="542"/>
      <c r="FS21" s="542"/>
      <c r="FT21" s="542"/>
      <c r="FU21" s="542"/>
      <c r="FV21" s="542"/>
      <c r="FW21" s="542"/>
      <c r="FX21" s="872"/>
      <c r="FY21" s="542"/>
      <c r="FZ21" s="542"/>
      <c r="GA21" s="542"/>
      <c r="GB21" s="542"/>
      <c r="GC21" s="542"/>
      <c r="GD21" s="542"/>
      <c r="GE21" s="542"/>
      <c r="GF21" s="542"/>
      <c r="GG21" s="542"/>
      <c r="GH21" s="542"/>
      <c r="GI21" s="542"/>
      <c r="GJ21" s="542"/>
      <c r="GK21" s="872"/>
      <c r="GL21" s="872"/>
      <c r="GM21" s="872"/>
      <c r="GN21" s="872"/>
      <c r="GO21" s="872"/>
      <c r="GP21" s="872"/>
      <c r="GQ21" s="872"/>
      <c r="GR21" s="872"/>
      <c r="GS21" s="872"/>
      <c r="GT21" s="872"/>
      <c r="GU21" s="872"/>
      <c r="GV21" s="872"/>
      <c r="GW21" s="872"/>
      <c r="GX21" s="872"/>
      <c r="GY21" s="899"/>
      <c r="GZ21" s="888">
        <f t="shared" si="38"/>
        <v>590766.625</v>
      </c>
      <c r="HA21" s="443">
        <f t="shared" si="39"/>
        <v>365766.62</v>
      </c>
      <c r="HB21" s="566">
        <v>38559</v>
      </c>
      <c r="HC21" s="655">
        <f>12+4+6+5</f>
        <v>27</v>
      </c>
      <c r="HD21" s="697">
        <f t="shared" si="46"/>
        <v>2.25</v>
      </c>
      <c r="HE21" s="441">
        <f t="shared" si="40"/>
        <v>39380.25</v>
      </c>
      <c r="HF21" s="444">
        <f t="shared" si="41"/>
        <v>590766.625</v>
      </c>
      <c r="HG21" s="817">
        <v>2</v>
      </c>
      <c r="HH21" s="444">
        <f t="shared" si="48"/>
        <v>295383.3125</v>
      </c>
      <c r="HI21" s="444">
        <f t="shared" si="49"/>
        <v>443074.96875</v>
      </c>
      <c r="HJ21" s="542">
        <f>(T21*0.5)/HD21+BI21</f>
        <v>404666.6666666666</v>
      </c>
      <c r="HK21" s="542">
        <f>(T21*0.2)</f>
        <v>161700</v>
      </c>
      <c r="HL21" s="542"/>
      <c r="HN21" s="542"/>
      <c r="HO21" s="974">
        <f t="shared" si="62"/>
        <v>1181533.25</v>
      </c>
      <c r="HP21" s="974">
        <f t="shared" si="63"/>
        <v>590766.625</v>
      </c>
      <c r="HQ21" s="974">
        <f t="shared" si="64"/>
        <v>295383.3125</v>
      </c>
      <c r="HR21" s="974">
        <f t="shared" si="65"/>
        <v>206768.31874999998</v>
      </c>
      <c r="HS21" s="974">
        <f t="shared" si="66"/>
        <v>502151.63125</v>
      </c>
      <c r="HT21" s="974">
        <f t="shared" si="67"/>
        <v>88614.99375</v>
      </c>
      <c r="HU21" s="974">
        <f t="shared" si="68"/>
        <v>590766.625</v>
      </c>
    </row>
    <row r="22" spans="1:229" s="474" customFormat="1" ht="12" customHeight="1">
      <c r="A22" s="405">
        <v>20</v>
      </c>
      <c r="B22" s="406" t="e">
        <f>IF(#REF!&gt;0,"si","no")</f>
        <v>#REF!</v>
      </c>
      <c r="C22" s="407">
        <v>44</v>
      </c>
      <c r="D22" s="477" t="s">
        <v>370</v>
      </c>
      <c r="E22" s="690" t="s">
        <v>801</v>
      </c>
      <c r="F22" s="477" t="s">
        <v>480</v>
      </c>
      <c r="G22" s="477" t="s">
        <v>1354</v>
      </c>
      <c r="H22" s="820" t="s">
        <v>1355</v>
      </c>
      <c r="I22" s="526" t="s">
        <v>456</v>
      </c>
      <c r="J22" s="411">
        <v>3563800</v>
      </c>
      <c r="K22" s="410">
        <v>65</v>
      </c>
      <c r="L22" s="410" t="str">
        <f t="shared" si="0"/>
        <v>è</v>
      </c>
      <c r="M22" s="410" t="s">
        <v>793</v>
      </c>
      <c r="N22" s="409">
        <v>2332300</v>
      </c>
      <c r="O22" s="409">
        <f t="shared" si="1"/>
        <v>1231500</v>
      </c>
      <c r="P22" s="409">
        <f t="shared" si="2"/>
        <v>246300</v>
      </c>
      <c r="Q22" s="411">
        <f t="shared" si="3"/>
        <v>3810100</v>
      </c>
      <c r="R22" s="411">
        <f t="shared" si="4"/>
        <v>2316470</v>
      </c>
      <c r="S22" s="409">
        <f t="shared" si="5"/>
        <v>160095</v>
      </c>
      <c r="T22" s="411">
        <f t="shared" si="6"/>
        <v>2476565</v>
      </c>
      <c r="U22" s="411">
        <f t="shared" si="30"/>
        <v>1238282.5</v>
      </c>
      <c r="V22" s="411">
        <f t="shared" si="31"/>
        <v>866797.75</v>
      </c>
      <c r="W22" s="409">
        <f t="shared" si="32"/>
        <v>2105080.25</v>
      </c>
      <c r="X22" s="411">
        <f t="shared" si="7"/>
        <v>371484.75</v>
      </c>
      <c r="Y22" s="411">
        <f t="shared" si="8"/>
        <v>1247330</v>
      </c>
      <c r="Z22" s="411">
        <f t="shared" si="9"/>
        <v>1333535</v>
      </c>
      <c r="AA22" s="412" t="s">
        <v>794</v>
      </c>
      <c r="AB22" s="413" t="s">
        <v>795</v>
      </c>
      <c r="AC22" s="413" t="s">
        <v>802</v>
      </c>
      <c r="AD22" s="213" t="s">
        <v>797</v>
      </c>
      <c r="AE22" s="213" t="s">
        <v>798</v>
      </c>
      <c r="AF22" s="213" t="s">
        <v>141</v>
      </c>
      <c r="AG22" s="213">
        <v>184</v>
      </c>
      <c r="AH22" s="213">
        <v>70126</v>
      </c>
      <c r="AI22" s="405">
        <v>93301220724</v>
      </c>
      <c r="AJ22" s="414" t="s">
        <v>806</v>
      </c>
      <c r="AK22" s="415">
        <v>95</v>
      </c>
      <c r="AL22" s="415">
        <v>321</v>
      </c>
      <c r="AM22" s="420">
        <v>38198</v>
      </c>
      <c r="AN22" s="420">
        <v>38238</v>
      </c>
      <c r="AO22" s="406" t="s">
        <v>179</v>
      </c>
      <c r="AP22" s="406">
        <v>1791</v>
      </c>
      <c r="AQ22" s="415">
        <v>34</v>
      </c>
      <c r="AR22" s="415">
        <v>29</v>
      </c>
      <c r="AS22" s="678" t="s">
        <v>189</v>
      </c>
      <c r="AT22" s="677" t="s">
        <v>457</v>
      </c>
      <c r="AU22" s="470" t="s">
        <v>295</v>
      </c>
      <c r="AV22" s="471">
        <v>38287</v>
      </c>
      <c r="AW22" s="471">
        <v>38260</v>
      </c>
      <c r="AX22" s="709">
        <v>38285</v>
      </c>
      <c r="AY22" s="155" t="s">
        <v>1090</v>
      </c>
      <c r="AZ22" s="155" t="s">
        <v>276</v>
      </c>
      <c r="BA22" s="155" t="s">
        <v>803</v>
      </c>
      <c r="BB22" s="155" t="s">
        <v>677</v>
      </c>
      <c r="BC22" s="432" t="s">
        <v>277</v>
      </c>
      <c r="BD22" s="155" t="s">
        <v>281</v>
      </c>
      <c r="BE22" s="155"/>
      <c r="BF22" s="414" t="s">
        <v>278</v>
      </c>
      <c r="BG22" s="471">
        <v>38281</v>
      </c>
      <c r="BH22" s="155" t="s">
        <v>280</v>
      </c>
      <c r="BI22" s="411">
        <v>742669.5</v>
      </c>
      <c r="BJ22" s="411">
        <f>BI22*0.85</f>
        <v>631269.075</v>
      </c>
      <c r="BK22" s="419">
        <f>Disponibilità!V46</f>
        <v>2003</v>
      </c>
      <c r="BL22" s="411">
        <f t="shared" si="43"/>
        <v>111400.425</v>
      </c>
      <c r="BM22" s="419">
        <f>Disponibilità!X46</f>
        <v>2003</v>
      </c>
      <c r="BN22" s="411">
        <f>BI22*0.35</f>
        <v>259934.32499999998</v>
      </c>
      <c r="BO22" s="411"/>
      <c r="BP22" s="411"/>
      <c r="BQ22" s="711" t="s">
        <v>156</v>
      </c>
      <c r="BR22" s="416">
        <v>38310</v>
      </c>
      <c r="BS22" s="416" t="s">
        <v>154</v>
      </c>
      <c r="BT22" s="711" t="s">
        <v>1109</v>
      </c>
      <c r="BU22" s="726" t="s">
        <v>212</v>
      </c>
      <c r="BV22" s="435">
        <v>38334</v>
      </c>
      <c r="BW22" s="430">
        <f>631269.08+111400.43</f>
        <v>742669.51</v>
      </c>
      <c r="BX22" s="878">
        <f>631269.08+111400.43</f>
        <v>742669.51</v>
      </c>
      <c r="BY22" s="542">
        <v>440986.72</v>
      </c>
      <c r="BZ22" s="409">
        <f>(BY22*0.65)</f>
        <v>286641.368</v>
      </c>
      <c r="CA22" s="409">
        <f t="shared" si="74"/>
        <v>179150.855</v>
      </c>
      <c r="CB22" s="409">
        <f t="shared" si="75"/>
        <v>152278.22675</v>
      </c>
      <c r="CC22" s="409">
        <f t="shared" si="76"/>
        <v>26872.62825</v>
      </c>
      <c r="CD22" s="409">
        <f t="shared" si="77"/>
        <v>62702.79925</v>
      </c>
      <c r="CE22" s="409">
        <v>0</v>
      </c>
      <c r="CF22" s="409">
        <v>0</v>
      </c>
      <c r="CG22" s="711">
        <v>873</v>
      </c>
      <c r="CH22" s="416">
        <v>38489</v>
      </c>
      <c r="CI22" s="579" t="s">
        <v>1058</v>
      </c>
      <c r="CJ22" s="416">
        <v>38531</v>
      </c>
      <c r="CK22" s="872">
        <f>152278.23+26872.63</f>
        <v>179150.86000000002</v>
      </c>
      <c r="CL22" s="742">
        <v>153401.64232133335</v>
      </c>
      <c r="CM22" s="409">
        <f>(CL22*0.65)</f>
        <v>99711.06750886668</v>
      </c>
      <c r="CN22" s="409">
        <f t="shared" si="78"/>
        <v>62319.41719304167</v>
      </c>
      <c r="CO22" s="409">
        <f>CN22*0.85</f>
        <v>52971.50461408542</v>
      </c>
      <c r="CP22" s="409">
        <f>CN22*0.15</f>
        <v>9347.91257895625</v>
      </c>
      <c r="CQ22" s="409">
        <f t="shared" si="79"/>
        <v>21811.796017564582</v>
      </c>
      <c r="CR22" s="409"/>
      <c r="CS22" s="409"/>
      <c r="CT22" s="711">
        <v>1610</v>
      </c>
      <c r="CU22" s="416">
        <v>38653</v>
      </c>
      <c r="CV22" s="579" t="s">
        <v>1301</v>
      </c>
      <c r="CW22" s="416">
        <v>38644</v>
      </c>
      <c r="CX22" s="743">
        <f>CN22</f>
        <v>62319.41719304167</v>
      </c>
      <c r="CY22" s="542">
        <v>316888.33309</v>
      </c>
      <c r="CZ22" s="409">
        <f>(CY22*0.65)</f>
        <v>205977.4165085</v>
      </c>
      <c r="DA22" s="409">
        <f>CZ22-(CZ22*0.375)</f>
        <v>128735.8853178125</v>
      </c>
      <c r="DB22" s="409">
        <f t="shared" si="80"/>
        <v>109425.50252014062</v>
      </c>
      <c r="DC22" s="409">
        <f t="shared" si="81"/>
        <v>19310.382797671875</v>
      </c>
      <c r="DD22" s="409">
        <f>DA22*0.35</f>
        <v>45057.559861234375</v>
      </c>
      <c r="DE22" s="409">
        <v>0</v>
      </c>
      <c r="DF22" s="409">
        <v>0</v>
      </c>
      <c r="DG22" s="410">
        <v>1795</v>
      </c>
      <c r="DH22" s="416">
        <v>38672</v>
      </c>
      <c r="DI22" s="581" t="s">
        <v>20</v>
      </c>
      <c r="DJ22" s="416">
        <v>38698</v>
      </c>
      <c r="DK22" s="743">
        <f>109425.5+19310.39</f>
        <v>128735.89</v>
      </c>
      <c r="DL22" s="542">
        <v>334777.17191000003</v>
      </c>
      <c r="DM22" s="409">
        <f>(DL22*0.65)</f>
        <v>217605.16174150002</v>
      </c>
      <c r="DN22" s="409">
        <f>DM22-(DM22*0.375)</f>
        <v>136003.2260884375</v>
      </c>
      <c r="DO22" s="409">
        <f>DN22*0.85+0.01</f>
        <v>115602.75217517187</v>
      </c>
      <c r="DP22" s="409">
        <f>DN22*0.15</f>
        <v>20400.483913265627</v>
      </c>
      <c r="DQ22" s="409">
        <f>DN22*0.35</f>
        <v>47601.12913095313</v>
      </c>
      <c r="DR22" s="409">
        <v>0</v>
      </c>
      <c r="DS22" s="409">
        <v>0</v>
      </c>
      <c r="DT22" s="711">
        <v>1900</v>
      </c>
      <c r="DU22" s="416">
        <v>38685</v>
      </c>
      <c r="DV22" s="579" t="s">
        <v>1318</v>
      </c>
      <c r="DW22" s="416">
        <v>38708</v>
      </c>
      <c r="DX22" s="867">
        <f>115602.75+20400.48</f>
        <v>136003.23</v>
      </c>
      <c r="DY22" s="542">
        <v>430637.64607843134</v>
      </c>
      <c r="DZ22" s="409">
        <f>(DY22*0.65)</f>
        <v>279914.4699509804</v>
      </c>
      <c r="EA22" s="409">
        <f>DZ22-(DZ22*0.375)-1707.64</f>
        <v>173238.90371936274</v>
      </c>
      <c r="EB22" s="409">
        <f>EA22*0.85</f>
        <v>147253.06816145833</v>
      </c>
      <c r="EC22" s="409">
        <f>EA22*0.15</f>
        <v>25985.83555790441</v>
      </c>
      <c r="ED22" s="409">
        <f>EA22*0.35</f>
        <v>60633.61630177696</v>
      </c>
      <c r="EE22" s="409">
        <v>0</v>
      </c>
      <c r="EF22" s="409">
        <v>0</v>
      </c>
      <c r="EG22" s="711" t="s">
        <v>1331</v>
      </c>
      <c r="EH22" s="416">
        <v>38873</v>
      </c>
      <c r="EI22" s="726" t="s">
        <v>429</v>
      </c>
      <c r="EJ22" s="416">
        <v>38894</v>
      </c>
      <c r="EK22" s="743">
        <f>147253.07+25985.84</f>
        <v>173238.91</v>
      </c>
      <c r="EL22" s="542">
        <v>419060.78</v>
      </c>
      <c r="EM22" s="409">
        <f>(EL22*0.65)</f>
        <v>272389.50700000004</v>
      </c>
      <c r="EN22" s="409">
        <f>EM22-(EM22*0.375)</f>
        <v>170243.44187500002</v>
      </c>
      <c r="EO22" s="409">
        <f>EN22*0.85</f>
        <v>144706.92559375</v>
      </c>
      <c r="EP22" s="409">
        <f>EN22*0.15</f>
        <v>25536.516281250002</v>
      </c>
      <c r="EQ22" s="409">
        <f>EN22*0.35</f>
        <v>59585.20465625</v>
      </c>
      <c r="ER22" s="409">
        <v>0</v>
      </c>
      <c r="ES22" s="409">
        <v>0</v>
      </c>
      <c r="ET22" s="539">
        <v>232</v>
      </c>
      <c r="EU22" s="416">
        <v>38995</v>
      </c>
      <c r="EV22" s="579" t="s">
        <v>244</v>
      </c>
      <c r="EW22" s="416">
        <v>38995</v>
      </c>
      <c r="EX22" s="872">
        <f>144706.92+25536.52</f>
        <v>170243.44</v>
      </c>
      <c r="EY22" s="542">
        <v>387559.87</v>
      </c>
      <c r="EZ22" s="409">
        <f>(EY22*0.65)</f>
        <v>251913.9155</v>
      </c>
      <c r="FA22" s="409">
        <f>EZ22-(EZ22*0.375)</f>
        <v>157446.19718750002</v>
      </c>
      <c r="FB22" s="409">
        <f>FA22*0.85</f>
        <v>133829.267609375</v>
      </c>
      <c r="FC22" s="409">
        <f>FA22*0.15</f>
        <v>23616.929578125</v>
      </c>
      <c r="FD22" s="409">
        <f>FA22*0.35</f>
        <v>55106.169015625004</v>
      </c>
      <c r="FE22" s="409">
        <v>0</v>
      </c>
      <c r="FF22" s="409">
        <v>0</v>
      </c>
      <c r="FG22" s="711" t="s">
        <v>1385</v>
      </c>
      <c r="FH22" s="416">
        <v>39065</v>
      </c>
      <c r="FI22" s="579" t="s">
        <v>1386</v>
      </c>
      <c r="FJ22" s="416">
        <v>39070</v>
      </c>
      <c r="FK22" s="872">
        <f>133829.27+23616.93</f>
        <v>157446.19999999998</v>
      </c>
      <c r="FL22" s="542">
        <v>330951.2</v>
      </c>
      <c r="FM22" s="409">
        <f>(FL22*0.65)</f>
        <v>215118.28000000003</v>
      </c>
      <c r="FN22" s="409">
        <f>FM22-(FM22*0.375)</f>
        <v>134448.92500000002</v>
      </c>
      <c r="FO22" s="409">
        <f>FN22*0.85</f>
        <v>114281.58625000001</v>
      </c>
      <c r="FP22" s="409">
        <f>FN22*0.15</f>
        <v>20167.338750000003</v>
      </c>
      <c r="FQ22" s="409">
        <f>FN22*0.35</f>
        <v>47057.123750000006</v>
      </c>
      <c r="FR22" s="409">
        <v>0</v>
      </c>
      <c r="FS22" s="409">
        <v>0</v>
      </c>
      <c r="FT22" s="539">
        <v>248</v>
      </c>
      <c r="FU22" s="416">
        <v>39307</v>
      </c>
      <c r="FV22" s="860" t="s">
        <v>1415</v>
      </c>
      <c r="FW22" s="416">
        <v>39329</v>
      </c>
      <c r="FX22" s="872">
        <f>+FN22</f>
        <v>134448.92500000002</v>
      </c>
      <c r="FY22" s="542">
        <f>(109124.73+57717.38)*100/65</f>
        <v>256680.1692307692</v>
      </c>
      <c r="FZ22" s="409">
        <f>(FY22*0.65)</f>
        <v>166842.11</v>
      </c>
      <c r="GA22" s="409">
        <f>+FZ22-57717.38</f>
        <v>109124.72999999998</v>
      </c>
      <c r="GB22" s="409">
        <f>GA22*0.85</f>
        <v>92756.02049999998</v>
      </c>
      <c r="GC22" s="409">
        <f>GA22*0.15</f>
        <v>16368.709499999997</v>
      </c>
      <c r="GD22" s="409">
        <f>GA22*0.35</f>
        <v>38193.65549999999</v>
      </c>
      <c r="GE22" s="409">
        <v>0</v>
      </c>
      <c r="GF22" s="409">
        <v>0</v>
      </c>
      <c r="GG22" s="540">
        <v>367</v>
      </c>
      <c r="GH22" s="445">
        <v>39715</v>
      </c>
      <c r="GI22" s="543" t="s">
        <v>442</v>
      </c>
      <c r="GJ22" s="416">
        <v>39730</v>
      </c>
      <c r="GK22" s="872">
        <f>+GA22</f>
        <v>109124.72999999998</v>
      </c>
      <c r="GL22" s="872"/>
      <c r="GM22" s="872"/>
      <c r="GN22" s="872"/>
      <c r="GO22" s="872"/>
      <c r="GP22" s="872"/>
      <c r="GQ22" s="872"/>
      <c r="GR22" s="872"/>
      <c r="GS22" s="872"/>
      <c r="GT22" s="872"/>
      <c r="GU22" s="872"/>
      <c r="GV22" s="872"/>
      <c r="GW22" s="872"/>
      <c r="GX22" s="872"/>
      <c r="GY22" s="899"/>
      <c r="GZ22" s="888">
        <f t="shared" si="38"/>
        <v>1362238.9907098473</v>
      </c>
      <c r="HA22" s="443">
        <f t="shared" si="39"/>
        <v>849691.7471930417</v>
      </c>
      <c r="HB22" s="566">
        <v>38047</v>
      </c>
      <c r="HC22" s="655">
        <f>42+6</f>
        <v>48</v>
      </c>
      <c r="HD22" s="697">
        <f t="shared" si="46"/>
        <v>4</v>
      </c>
      <c r="HE22" s="441">
        <f t="shared" si="40"/>
        <v>39507</v>
      </c>
      <c r="HF22" s="444">
        <f t="shared" si="41"/>
        <v>1362238.9907098473</v>
      </c>
      <c r="HG22" s="817">
        <v>6</v>
      </c>
      <c r="HH22" s="444">
        <f t="shared" si="48"/>
        <v>227039.83178497455</v>
      </c>
      <c r="HI22" s="444">
        <f t="shared" si="49"/>
        <v>340559.7476774618</v>
      </c>
      <c r="HJ22" s="542">
        <f>(T22*0.5)/HD22</f>
        <v>309570.625</v>
      </c>
      <c r="HK22" s="542">
        <f>(T22*0.5)/HD22</f>
        <v>309570.625</v>
      </c>
      <c r="HL22" s="542">
        <f>(T22*0.5)/HD22</f>
        <v>309570.625</v>
      </c>
      <c r="HM22" s="542">
        <f t="shared" si="42"/>
        <v>495313</v>
      </c>
      <c r="HN22" s="542"/>
      <c r="HO22" s="974">
        <f t="shared" si="62"/>
        <v>3070943.532630534</v>
      </c>
      <c r="HP22" s="974">
        <f t="shared" si="63"/>
        <v>1996113.2962098473</v>
      </c>
      <c r="HQ22" s="974">
        <f t="shared" si="64"/>
        <v>998056.6481049237</v>
      </c>
      <c r="HR22" s="974">
        <f t="shared" si="65"/>
        <v>698639.6536734465</v>
      </c>
      <c r="HS22" s="974">
        <f t="shared" si="66"/>
        <v>1696696.30177837</v>
      </c>
      <c r="HT22" s="974">
        <f t="shared" si="67"/>
        <v>299416.9944314771</v>
      </c>
      <c r="HU22" s="974">
        <f t="shared" si="68"/>
        <v>1074830.2364206866</v>
      </c>
    </row>
    <row r="23" spans="1:229" s="474" customFormat="1" ht="12" customHeight="1">
      <c r="A23" s="421">
        <v>21</v>
      </c>
      <c r="B23" s="406" t="e">
        <f>IF(#REF!&gt;0,"si","no")</f>
        <v>#REF!</v>
      </c>
      <c r="C23" s="433">
        <v>45</v>
      </c>
      <c r="D23" s="474" t="s">
        <v>829</v>
      </c>
      <c r="E23" s="474" t="s">
        <v>830</v>
      </c>
      <c r="F23" s="474" t="s">
        <v>480</v>
      </c>
      <c r="G23" s="440" t="s">
        <v>1220</v>
      </c>
      <c r="H23" s="821" t="s">
        <v>1196</v>
      </c>
      <c r="I23" s="529" t="s">
        <v>1209</v>
      </c>
      <c r="J23" s="444">
        <v>498707</v>
      </c>
      <c r="K23" s="421">
        <v>65</v>
      </c>
      <c r="L23" s="421" t="str">
        <f t="shared" si="0"/>
        <v>è</v>
      </c>
      <c r="M23" s="410" t="s">
        <v>793</v>
      </c>
      <c r="N23" s="443">
        <v>48400</v>
      </c>
      <c r="O23" s="443">
        <f t="shared" si="1"/>
        <v>450307</v>
      </c>
      <c r="P23" s="443">
        <f t="shared" si="2"/>
        <v>90061.40000000001</v>
      </c>
      <c r="Q23" s="411">
        <f t="shared" si="3"/>
        <v>588768.4</v>
      </c>
      <c r="R23" s="444">
        <f t="shared" si="4"/>
        <v>324159.55</v>
      </c>
      <c r="S23" s="443">
        <f t="shared" si="5"/>
        <v>58539.91000000001</v>
      </c>
      <c r="T23" s="444">
        <f t="shared" si="6"/>
        <v>382699.46</v>
      </c>
      <c r="U23" s="411">
        <f t="shared" si="30"/>
        <v>191349.73</v>
      </c>
      <c r="V23" s="411">
        <f t="shared" si="31"/>
        <v>133944.811</v>
      </c>
      <c r="W23" s="443">
        <f t="shared" si="32"/>
        <v>325294.541</v>
      </c>
      <c r="X23" s="444">
        <f t="shared" si="7"/>
        <v>57404.919</v>
      </c>
      <c r="Y23" s="411">
        <f t="shared" si="8"/>
        <v>174547.45</v>
      </c>
      <c r="Z23" s="411">
        <f t="shared" si="9"/>
        <v>206068.94</v>
      </c>
      <c r="AA23" s="437" t="s">
        <v>794</v>
      </c>
      <c r="AB23" s="438" t="s">
        <v>795</v>
      </c>
      <c r="AC23" s="439" t="s">
        <v>831</v>
      </c>
      <c r="AD23" s="421" t="s">
        <v>803</v>
      </c>
      <c r="AE23" s="421" t="s">
        <v>804</v>
      </c>
      <c r="AF23" s="421" t="s">
        <v>832</v>
      </c>
      <c r="AG23" s="421">
        <v>39</v>
      </c>
      <c r="AH23" s="421">
        <v>73100</v>
      </c>
      <c r="AI23" s="439" t="s">
        <v>833</v>
      </c>
      <c r="AJ23" s="440" t="s">
        <v>64</v>
      </c>
      <c r="AK23" s="421">
        <v>81</v>
      </c>
      <c r="AL23" s="421">
        <v>252</v>
      </c>
      <c r="AM23" s="445">
        <v>38166</v>
      </c>
      <c r="AN23" s="445">
        <v>38191</v>
      </c>
      <c r="AO23" s="406" t="s">
        <v>5</v>
      </c>
      <c r="AP23" s="406">
        <v>1664</v>
      </c>
      <c r="AQ23" s="421" t="s">
        <v>1080</v>
      </c>
      <c r="AR23" s="439" t="s">
        <v>1081</v>
      </c>
      <c r="AS23" s="679" t="s">
        <v>210</v>
      </c>
      <c r="AT23" s="679" t="s">
        <v>170</v>
      </c>
      <c r="AU23" s="472" t="s">
        <v>295</v>
      </c>
      <c r="AV23" s="473">
        <v>38302</v>
      </c>
      <c r="AW23" s="445" t="s">
        <v>154</v>
      </c>
      <c r="AX23" s="713">
        <v>38288</v>
      </c>
      <c r="AY23" s="474" t="s">
        <v>736</v>
      </c>
      <c r="AZ23" s="474" t="s">
        <v>737</v>
      </c>
      <c r="BA23" s="474" t="s">
        <v>738</v>
      </c>
      <c r="BB23" s="474" t="s">
        <v>666</v>
      </c>
      <c r="BC23" s="421">
        <v>1122498</v>
      </c>
      <c r="BD23" s="474" t="s">
        <v>1077</v>
      </c>
      <c r="BF23" s="440" t="s">
        <v>1078</v>
      </c>
      <c r="BG23" s="473">
        <v>38288</v>
      </c>
      <c r="BH23" s="474" t="s">
        <v>1079</v>
      </c>
      <c r="BI23" s="411">
        <v>97247.87</v>
      </c>
      <c r="BJ23" s="411">
        <f t="shared" si="34"/>
        <v>82660.6895</v>
      </c>
      <c r="BK23" s="419">
        <f>Disponibilità!V34</f>
        <v>2003</v>
      </c>
      <c r="BL23" s="411">
        <f t="shared" si="43"/>
        <v>14587.180499999999</v>
      </c>
      <c r="BM23" s="419">
        <f>Disponibilità!X34</f>
        <v>2001</v>
      </c>
      <c r="BN23" s="411">
        <f>BI23*0.35</f>
        <v>34036.754499999995</v>
      </c>
      <c r="BO23" s="411">
        <f>+BN23*0.04</f>
        <v>1361.4701799999998</v>
      </c>
      <c r="BP23" s="411">
        <f>+BL23*0.04</f>
        <v>583.48722</v>
      </c>
      <c r="BQ23" s="540">
        <v>560</v>
      </c>
      <c r="BR23" s="445">
        <v>38307</v>
      </c>
      <c r="BS23" s="445" t="s">
        <v>295</v>
      </c>
      <c r="BT23" s="540">
        <v>5146</v>
      </c>
      <c r="BU23" s="837" t="s">
        <v>1055</v>
      </c>
      <c r="BV23" s="445">
        <v>38324</v>
      </c>
      <c r="BW23" s="443">
        <f>82660.69+14587.18</f>
        <v>97247.87</v>
      </c>
      <c r="BX23" s="877">
        <f>82660.69+14587.18</f>
        <v>97247.87</v>
      </c>
      <c r="BY23" s="543">
        <v>33839.76</v>
      </c>
      <c r="BZ23" s="409">
        <f>(BY23*0.65)</f>
        <v>21995.844</v>
      </c>
      <c r="CA23" s="409">
        <f t="shared" si="74"/>
        <v>13747.4025</v>
      </c>
      <c r="CB23" s="409">
        <f t="shared" si="75"/>
        <v>11685.292125</v>
      </c>
      <c r="CC23" s="409">
        <f t="shared" si="76"/>
        <v>2062.1103749999997</v>
      </c>
      <c r="CD23" s="409">
        <f t="shared" si="77"/>
        <v>4811.590875</v>
      </c>
      <c r="CE23" s="409">
        <f>CD23*0.04</f>
        <v>192.463635</v>
      </c>
      <c r="CF23" s="409">
        <f>CC23*0.04</f>
        <v>82.484415</v>
      </c>
      <c r="CG23" s="540">
        <v>1402</v>
      </c>
      <c r="CH23" s="445">
        <v>38537</v>
      </c>
      <c r="CI23" s="584" t="s">
        <v>1229</v>
      </c>
      <c r="CJ23" s="445">
        <v>38566</v>
      </c>
      <c r="CK23" s="870">
        <f>11685.29+2062.11</f>
        <v>13747.400000000001</v>
      </c>
      <c r="CL23" s="543">
        <v>175237.57</v>
      </c>
      <c r="CM23" s="409">
        <f>(CL23*0.65)</f>
        <v>113904.42050000001</v>
      </c>
      <c r="CN23" s="409">
        <f t="shared" si="78"/>
        <v>71190.2628125</v>
      </c>
      <c r="CO23" s="409">
        <f>CN23*0.85</f>
        <v>60511.723390625004</v>
      </c>
      <c r="CP23" s="409">
        <f>CN23*0.15</f>
        <v>10678.539421875</v>
      </c>
      <c r="CQ23" s="409">
        <f t="shared" si="79"/>
        <v>24916.591984375</v>
      </c>
      <c r="CR23" s="409">
        <f>CQ23*0.04</f>
        <v>996.6636793750001</v>
      </c>
      <c r="CS23" s="409">
        <f>CP23*0.04</f>
        <v>427.14157687500006</v>
      </c>
      <c r="CT23" s="540">
        <v>1899</v>
      </c>
      <c r="CU23" s="445">
        <v>38685</v>
      </c>
      <c r="CV23" s="584" t="s">
        <v>1322</v>
      </c>
      <c r="CW23" s="445">
        <v>38714</v>
      </c>
      <c r="CX23" s="847">
        <f>60511.72+10678.54</f>
        <v>71190.26000000001</v>
      </c>
      <c r="CY23" s="543">
        <v>169203.38</v>
      </c>
      <c r="CZ23" s="409">
        <f>(CY23*0.65)</f>
        <v>109982.197</v>
      </c>
      <c r="DA23" s="409">
        <f>CZ23-(CZ23*0.375)</f>
        <v>68738.873125</v>
      </c>
      <c r="DB23" s="409">
        <f t="shared" si="80"/>
        <v>58428.04215625</v>
      </c>
      <c r="DC23" s="409">
        <f t="shared" si="81"/>
        <v>10310.830968749999</v>
      </c>
      <c r="DD23" s="409">
        <f>DA23*0.35</f>
        <v>24058.60559375</v>
      </c>
      <c r="DE23" s="409">
        <f>DD23*0.04</f>
        <v>962.34422375</v>
      </c>
      <c r="DF23" s="409">
        <f>DC23*0.04</f>
        <v>412.43323874999993</v>
      </c>
      <c r="DG23" s="740" t="s">
        <v>458</v>
      </c>
      <c r="DH23" s="445">
        <v>38902</v>
      </c>
      <c r="DI23" s="584" t="s">
        <v>1353</v>
      </c>
      <c r="DJ23" s="445">
        <v>38926</v>
      </c>
      <c r="DK23" s="847">
        <f>57053.26+10310.83</f>
        <v>67364.09</v>
      </c>
      <c r="DL23" s="543">
        <v>119646.34</v>
      </c>
      <c r="DM23" s="409">
        <f>(DL23*0.65)</f>
        <v>77770.121</v>
      </c>
      <c r="DN23" s="409">
        <f>DM23-5041.94</f>
        <v>72728.181</v>
      </c>
      <c r="DO23" s="409">
        <f>DN23*0.85</f>
        <v>61818.95385</v>
      </c>
      <c r="DP23" s="409">
        <f>DN23*0.15</f>
        <v>10909.227149999999</v>
      </c>
      <c r="DQ23" s="409">
        <f>DN23*0.35</f>
        <v>25454.863349999996</v>
      </c>
      <c r="DR23" s="409">
        <f>DQ23*0.04</f>
        <v>1018.1945339999999</v>
      </c>
      <c r="DS23" s="409">
        <f>DP23*0.04</f>
        <v>436.369086</v>
      </c>
      <c r="DT23" s="711">
        <v>428</v>
      </c>
      <c r="DU23" s="473">
        <v>39413</v>
      </c>
      <c r="DV23" s="580" t="s">
        <v>1426</v>
      </c>
      <c r="DW23" s="445">
        <v>39421</v>
      </c>
      <c r="DX23" s="866">
        <f>DN23</f>
        <v>72728.181</v>
      </c>
      <c r="DY23" s="543"/>
      <c r="DZ23" s="543"/>
      <c r="EA23" s="543"/>
      <c r="EB23" s="543"/>
      <c r="EC23" s="543"/>
      <c r="ED23" s="543"/>
      <c r="EE23" s="543"/>
      <c r="EF23" s="543"/>
      <c r="EG23" s="540"/>
      <c r="EH23" s="445"/>
      <c r="EI23" s="580"/>
      <c r="EJ23" s="445"/>
      <c r="EK23" s="847"/>
      <c r="EL23" s="543"/>
      <c r="EM23" s="543"/>
      <c r="EN23" s="543"/>
      <c r="EO23" s="543"/>
      <c r="EP23" s="543"/>
      <c r="EQ23" s="543"/>
      <c r="ER23" s="543"/>
      <c r="ES23" s="543"/>
      <c r="ET23" s="540"/>
      <c r="EU23" s="445"/>
      <c r="EV23" s="580"/>
      <c r="EW23" s="445"/>
      <c r="EX23" s="870"/>
      <c r="EY23" s="543"/>
      <c r="EZ23" s="543"/>
      <c r="FA23" s="543"/>
      <c r="FB23" s="543"/>
      <c r="FC23" s="543"/>
      <c r="FD23" s="543"/>
      <c r="FE23" s="543"/>
      <c r="FF23" s="543"/>
      <c r="FG23" s="543"/>
      <c r="FH23" s="543"/>
      <c r="FI23" s="543"/>
      <c r="FJ23" s="543"/>
      <c r="FK23" s="872">
        <f>+FA23</f>
        <v>0</v>
      </c>
      <c r="FL23" s="543"/>
      <c r="FM23" s="543"/>
      <c r="FN23" s="543"/>
      <c r="FO23" s="543"/>
      <c r="FP23" s="543"/>
      <c r="FQ23" s="543"/>
      <c r="FR23" s="543"/>
      <c r="FS23" s="543"/>
      <c r="FT23" s="543"/>
      <c r="FU23" s="543"/>
      <c r="FV23" s="543"/>
      <c r="FW23" s="543"/>
      <c r="FX23" s="870"/>
      <c r="FY23" s="543"/>
      <c r="FZ23" s="543"/>
      <c r="GA23" s="543"/>
      <c r="GB23" s="543"/>
      <c r="GC23" s="543"/>
      <c r="GD23" s="543"/>
      <c r="GE23" s="543"/>
      <c r="GF23" s="543"/>
      <c r="GG23" s="543"/>
      <c r="GH23" s="543"/>
      <c r="GI23" s="543"/>
      <c r="GJ23" s="543"/>
      <c r="GK23" s="870"/>
      <c r="GL23" s="870"/>
      <c r="GM23" s="870"/>
      <c r="GN23" s="870"/>
      <c r="GO23" s="870"/>
      <c r="GP23" s="870"/>
      <c r="GQ23" s="870"/>
      <c r="GR23" s="870"/>
      <c r="GS23" s="870"/>
      <c r="GT23" s="870"/>
      <c r="GU23" s="870"/>
      <c r="GV23" s="870"/>
      <c r="GW23" s="870"/>
      <c r="GX23" s="870"/>
      <c r="GY23" s="899"/>
      <c r="GZ23" s="888">
        <f t="shared" si="38"/>
        <v>323652.58249999996</v>
      </c>
      <c r="HA23" s="443">
        <f t="shared" si="39"/>
        <v>225029.93099999998</v>
      </c>
      <c r="HB23" s="568">
        <v>38169</v>
      </c>
      <c r="HC23" s="571">
        <f>15+6+9</f>
        <v>30</v>
      </c>
      <c r="HD23" s="733">
        <f t="shared" si="46"/>
        <v>2.5</v>
      </c>
      <c r="HE23" s="441">
        <f t="shared" si="40"/>
        <v>39081.5</v>
      </c>
      <c r="HF23" s="444">
        <f t="shared" si="41"/>
        <v>323652.58249999996</v>
      </c>
      <c r="HG23" s="817">
        <v>3</v>
      </c>
      <c r="HH23" s="444">
        <f t="shared" si="48"/>
        <v>107884.19416666665</v>
      </c>
      <c r="HI23" s="444">
        <f t="shared" si="49"/>
        <v>161826.29124999998</v>
      </c>
      <c r="HJ23" s="543">
        <f>(T23*0.5)/HD23</f>
        <v>76539.892</v>
      </c>
      <c r="HK23" s="543">
        <f>(T23*0.2)</f>
        <v>76539.892</v>
      </c>
      <c r="HL23" s="543"/>
      <c r="HN23" s="543"/>
      <c r="HO23" s="974">
        <f t="shared" si="62"/>
        <v>497927.05</v>
      </c>
      <c r="HP23" s="974">
        <f t="shared" si="63"/>
        <v>323652.58249999996</v>
      </c>
      <c r="HQ23" s="974">
        <f t="shared" si="64"/>
        <v>161826.29124999998</v>
      </c>
      <c r="HR23" s="974">
        <f t="shared" si="65"/>
        <v>113278.40387499997</v>
      </c>
      <c r="HS23" s="974">
        <f t="shared" si="66"/>
        <v>275104.69512499997</v>
      </c>
      <c r="HT23" s="974">
        <f t="shared" si="67"/>
        <v>48547.88737499999</v>
      </c>
      <c r="HU23" s="974">
        <f t="shared" si="68"/>
        <v>174274.46750000003</v>
      </c>
    </row>
    <row r="24" spans="1:229" s="155" customFormat="1" ht="12" customHeight="1">
      <c r="A24" s="421">
        <v>22</v>
      </c>
      <c r="B24" s="406" t="e">
        <f>IF(#REF!&gt;0,"si","no")</f>
        <v>#REF!</v>
      </c>
      <c r="C24" s="428">
        <v>46</v>
      </c>
      <c r="D24" s="155" t="s">
        <v>140</v>
      </c>
      <c r="E24" s="155" t="s">
        <v>756</v>
      </c>
      <c r="F24" s="155" t="s">
        <v>480</v>
      </c>
      <c r="G24" s="155" t="s">
        <v>51</v>
      </c>
      <c r="H24" s="822" t="s">
        <v>1357</v>
      </c>
      <c r="I24" s="528" t="s">
        <v>410</v>
      </c>
      <c r="J24" s="431">
        <v>538800</v>
      </c>
      <c r="K24" s="405">
        <v>65</v>
      </c>
      <c r="L24" s="410" t="str">
        <f t="shared" si="0"/>
        <v>è</v>
      </c>
      <c r="M24" s="410" t="s">
        <v>793</v>
      </c>
      <c r="N24" s="430">
        <v>92980</v>
      </c>
      <c r="O24" s="430">
        <f t="shared" si="1"/>
        <v>445820</v>
      </c>
      <c r="P24" s="430">
        <f t="shared" si="2"/>
        <v>89164</v>
      </c>
      <c r="Q24" s="411">
        <f t="shared" si="3"/>
        <v>627964</v>
      </c>
      <c r="R24" s="431">
        <f t="shared" si="4"/>
        <v>350220</v>
      </c>
      <c r="S24" s="430">
        <f t="shared" si="5"/>
        <v>57956.6</v>
      </c>
      <c r="T24" s="431">
        <f t="shared" si="6"/>
        <v>408176.6</v>
      </c>
      <c r="U24" s="411">
        <f t="shared" si="30"/>
        <v>204088.3</v>
      </c>
      <c r="V24" s="411">
        <f t="shared" si="31"/>
        <v>142861.80999999997</v>
      </c>
      <c r="W24" s="430">
        <f t="shared" si="32"/>
        <v>346950.11</v>
      </c>
      <c r="X24" s="431">
        <f t="shared" si="7"/>
        <v>61226.48999999999</v>
      </c>
      <c r="Y24" s="411">
        <f t="shared" si="8"/>
        <v>188580</v>
      </c>
      <c r="Z24" s="411">
        <f t="shared" si="9"/>
        <v>219787.40000000002</v>
      </c>
      <c r="AA24" s="412" t="s">
        <v>794</v>
      </c>
      <c r="AB24" s="432" t="s">
        <v>895</v>
      </c>
      <c r="AC24" s="432" t="s">
        <v>902</v>
      </c>
      <c r="AD24" s="405" t="s">
        <v>903</v>
      </c>
      <c r="AE24" s="405" t="s">
        <v>904</v>
      </c>
      <c r="AF24" s="405" t="s">
        <v>1392</v>
      </c>
      <c r="AG24" s="405">
        <v>93</v>
      </c>
      <c r="AH24" s="405">
        <v>71100</v>
      </c>
      <c r="AI24" s="405">
        <v>94052770719</v>
      </c>
      <c r="AJ24" s="414" t="s">
        <v>185</v>
      </c>
      <c r="AK24" s="405">
        <v>55</v>
      </c>
      <c r="AL24" s="405">
        <v>377</v>
      </c>
      <c r="AM24" s="416">
        <v>38265</v>
      </c>
      <c r="AN24" s="416">
        <v>38293</v>
      </c>
      <c r="AO24" s="406" t="s">
        <v>254</v>
      </c>
      <c r="AP24" s="406">
        <v>1958</v>
      </c>
      <c r="AQ24" s="405">
        <v>40</v>
      </c>
      <c r="AR24" s="405">
        <v>35</v>
      </c>
      <c r="AS24" s="678" t="s">
        <v>255</v>
      </c>
      <c r="AT24" s="678" t="s">
        <v>1311</v>
      </c>
      <c r="AU24" s="470" t="s">
        <v>295</v>
      </c>
      <c r="AV24" s="471">
        <v>39065</v>
      </c>
      <c r="AW24" s="416">
        <v>38985</v>
      </c>
      <c r="AX24" s="416"/>
      <c r="AY24" s="155" t="s">
        <v>338</v>
      </c>
      <c r="AZ24" s="155" t="s">
        <v>339</v>
      </c>
      <c r="BA24" s="155" t="s">
        <v>1260</v>
      </c>
      <c r="BB24" s="155" t="s">
        <v>340</v>
      </c>
      <c r="BC24" s="405">
        <v>14573</v>
      </c>
      <c r="BD24" s="535" t="s">
        <v>341</v>
      </c>
      <c r="BE24" s="535"/>
      <c r="BF24" s="535" t="s">
        <v>1387</v>
      </c>
      <c r="BG24" s="471">
        <v>39014</v>
      </c>
      <c r="BH24" s="155" t="s">
        <v>1388</v>
      </c>
      <c r="BI24" s="411">
        <f t="shared" si="33"/>
        <v>122452.97999999998</v>
      </c>
      <c r="BJ24" s="411">
        <f t="shared" si="34"/>
        <v>104085.03299999998</v>
      </c>
      <c r="BK24" s="419"/>
      <c r="BL24" s="411">
        <f t="shared" si="43"/>
        <v>18367.946999999996</v>
      </c>
      <c r="BM24" s="419"/>
      <c r="BN24" s="411">
        <f>BI24*0.35</f>
        <v>42858.54299999999</v>
      </c>
      <c r="BO24" s="411">
        <v>0</v>
      </c>
      <c r="BP24" s="411">
        <v>0</v>
      </c>
      <c r="BQ24" s="539">
        <v>24</v>
      </c>
      <c r="BR24" s="416">
        <v>39121</v>
      </c>
      <c r="BS24" s="405" t="s">
        <v>154</v>
      </c>
      <c r="BT24" s="539"/>
      <c r="BU24" s="726" t="s">
        <v>1396</v>
      </c>
      <c r="BV24" s="416">
        <v>39133</v>
      </c>
      <c r="BW24" s="430">
        <f>104085.03+18367.95</f>
        <v>122452.98</v>
      </c>
      <c r="BX24" s="966">
        <f>104085.03+18367.95</f>
        <v>122452.98</v>
      </c>
      <c r="BY24" s="710"/>
      <c r="BZ24" s="409"/>
      <c r="CA24" s="409"/>
      <c r="CB24" s="409"/>
      <c r="CC24" s="409"/>
      <c r="CD24" s="409"/>
      <c r="CE24" s="409"/>
      <c r="CF24" s="409"/>
      <c r="CG24" s="539"/>
      <c r="CH24" s="416"/>
      <c r="CI24" s="581"/>
      <c r="CJ24" s="416"/>
      <c r="CK24" s="872"/>
      <c r="CL24" s="542"/>
      <c r="CM24" s="542"/>
      <c r="CN24" s="542"/>
      <c r="CO24" s="542"/>
      <c r="CP24" s="542"/>
      <c r="CQ24" s="542"/>
      <c r="CR24" s="542"/>
      <c r="CS24" s="542"/>
      <c r="CT24" s="539"/>
      <c r="CU24" s="416"/>
      <c r="CV24" s="581"/>
      <c r="CW24" s="416"/>
      <c r="CX24" s="743">
        <f>+CN24</f>
        <v>0</v>
      </c>
      <c r="CY24" s="542"/>
      <c r="CZ24" s="542"/>
      <c r="DA24" s="542"/>
      <c r="DB24" s="542"/>
      <c r="DC24" s="542"/>
      <c r="DD24" s="542"/>
      <c r="DE24" s="542"/>
      <c r="DF24" s="542"/>
      <c r="DG24" s="539"/>
      <c r="DH24" s="416"/>
      <c r="DI24" s="581"/>
      <c r="DJ24" s="416"/>
      <c r="DK24" s="743">
        <f>DA24</f>
        <v>0</v>
      </c>
      <c r="DL24" s="542"/>
      <c r="DM24" s="542"/>
      <c r="DN24" s="542"/>
      <c r="DO24" s="542"/>
      <c r="DP24" s="542"/>
      <c r="DQ24" s="542"/>
      <c r="DR24" s="542"/>
      <c r="DS24" s="542"/>
      <c r="DT24" s="539"/>
      <c r="DU24" s="416"/>
      <c r="DV24" s="581"/>
      <c r="DW24" s="416"/>
      <c r="DX24" s="867">
        <f>DN24</f>
        <v>0</v>
      </c>
      <c r="DY24" s="542"/>
      <c r="DZ24" s="542"/>
      <c r="EA24" s="542"/>
      <c r="EB24" s="542"/>
      <c r="EC24" s="542"/>
      <c r="ED24" s="542"/>
      <c r="EE24" s="542"/>
      <c r="EF24" s="542"/>
      <c r="EG24" s="539"/>
      <c r="EH24" s="416"/>
      <c r="EI24" s="581"/>
      <c r="EJ24" s="416"/>
      <c r="EK24" s="743"/>
      <c r="EL24" s="542"/>
      <c r="EM24" s="542"/>
      <c r="EN24" s="542"/>
      <c r="EO24" s="542"/>
      <c r="EP24" s="542"/>
      <c r="EQ24" s="542"/>
      <c r="ER24" s="542"/>
      <c r="ES24" s="542"/>
      <c r="ET24" s="539"/>
      <c r="EU24" s="416"/>
      <c r="EV24" s="581"/>
      <c r="EW24" s="416"/>
      <c r="EX24" s="872"/>
      <c r="EY24" s="542"/>
      <c r="EZ24" s="542"/>
      <c r="FA24" s="542"/>
      <c r="FB24" s="542"/>
      <c r="FC24" s="542"/>
      <c r="FD24" s="542"/>
      <c r="FE24" s="542"/>
      <c r="FF24" s="542"/>
      <c r="FG24" s="542"/>
      <c r="FH24" s="542"/>
      <c r="FI24" s="542"/>
      <c r="FJ24" s="542"/>
      <c r="FK24" s="872">
        <f>+FA24</f>
        <v>0</v>
      </c>
      <c r="FL24" s="542"/>
      <c r="FM24" s="542"/>
      <c r="FN24" s="542"/>
      <c r="FO24" s="542"/>
      <c r="FP24" s="542"/>
      <c r="FQ24" s="542"/>
      <c r="FR24" s="542"/>
      <c r="FS24" s="542"/>
      <c r="FT24" s="542"/>
      <c r="FU24" s="542"/>
      <c r="FV24" s="542"/>
      <c r="FW24" s="542"/>
      <c r="FX24" s="872"/>
      <c r="FY24" s="542"/>
      <c r="FZ24" s="542"/>
      <c r="GA24" s="542"/>
      <c r="GB24" s="542"/>
      <c r="GC24" s="542"/>
      <c r="GD24" s="542"/>
      <c r="GE24" s="542"/>
      <c r="GF24" s="542"/>
      <c r="GG24" s="542"/>
      <c r="GH24" s="542"/>
      <c r="GI24" s="542"/>
      <c r="GJ24" s="542"/>
      <c r="GK24" s="872"/>
      <c r="GL24" s="872"/>
      <c r="GM24" s="872"/>
      <c r="GN24" s="872"/>
      <c r="GO24" s="872"/>
      <c r="GP24" s="872"/>
      <c r="GQ24" s="872"/>
      <c r="GR24" s="872"/>
      <c r="GS24" s="872"/>
      <c r="GT24" s="872"/>
      <c r="GU24" s="872"/>
      <c r="GV24" s="872"/>
      <c r="GW24" s="872"/>
      <c r="GX24" s="872"/>
      <c r="GY24" s="899"/>
      <c r="GZ24" s="888">
        <f t="shared" si="38"/>
        <v>0</v>
      </c>
      <c r="HA24" s="443">
        <f t="shared" si="39"/>
        <v>0</v>
      </c>
      <c r="HB24" s="566">
        <v>38961</v>
      </c>
      <c r="HC24" s="539">
        <v>15</v>
      </c>
      <c r="HD24" s="697">
        <f t="shared" si="46"/>
        <v>1.25</v>
      </c>
      <c r="HE24" s="441">
        <f t="shared" si="40"/>
        <v>39417.25</v>
      </c>
      <c r="HF24" s="444">
        <f t="shared" si="41"/>
        <v>0</v>
      </c>
      <c r="HG24" s="817">
        <v>0</v>
      </c>
      <c r="HH24" s="444">
        <v>0</v>
      </c>
      <c r="HI24" s="444">
        <f t="shared" si="49"/>
        <v>0</v>
      </c>
      <c r="HJ24" s="542">
        <f>(T24*0.5)/HD24+BI24</f>
        <v>285723.62</v>
      </c>
      <c r="HK24" s="542">
        <f>(T24*0.5)/HD24</f>
        <v>163270.63999999998</v>
      </c>
      <c r="HL24" s="542">
        <f>(T24*0.2)</f>
        <v>81635.32</v>
      </c>
      <c r="HN24" s="542"/>
      <c r="HO24" s="974">
        <f t="shared" si="62"/>
        <v>0</v>
      </c>
      <c r="HP24" s="974">
        <f t="shared" si="63"/>
        <v>0</v>
      </c>
      <c r="HQ24" s="974">
        <f t="shared" si="64"/>
        <v>0</v>
      </c>
      <c r="HR24" s="974">
        <f t="shared" si="65"/>
        <v>0</v>
      </c>
      <c r="HS24" s="974">
        <f t="shared" si="66"/>
        <v>0</v>
      </c>
      <c r="HT24" s="974">
        <f t="shared" si="67"/>
        <v>0</v>
      </c>
      <c r="HU24" s="974">
        <f t="shared" si="68"/>
        <v>0</v>
      </c>
    </row>
    <row r="25" spans="1:229" s="474" customFormat="1" ht="12" customHeight="1">
      <c r="A25" s="421">
        <v>23</v>
      </c>
      <c r="B25" s="406" t="s">
        <v>177</v>
      </c>
      <c r="C25" s="433">
        <v>47</v>
      </c>
      <c r="D25" s="474" t="s">
        <v>272</v>
      </c>
      <c r="E25" s="474" t="s">
        <v>919</v>
      </c>
      <c r="F25" s="474" t="s">
        <v>480</v>
      </c>
      <c r="G25" s="474" t="s">
        <v>1022</v>
      </c>
      <c r="H25" s="821" t="s">
        <v>1187</v>
      </c>
      <c r="I25" s="529" t="s">
        <v>1217</v>
      </c>
      <c r="J25" s="444">
        <v>333175</v>
      </c>
      <c r="K25" s="421">
        <v>50</v>
      </c>
      <c r="L25" s="410" t="str">
        <f t="shared" si="0"/>
        <v>non è</v>
      </c>
      <c r="M25" s="410" t="s">
        <v>809</v>
      </c>
      <c r="N25" s="443">
        <v>51600</v>
      </c>
      <c r="O25" s="443">
        <f t="shared" si="1"/>
        <v>281575</v>
      </c>
      <c r="P25" s="443">
        <f t="shared" si="2"/>
        <v>56315</v>
      </c>
      <c r="Q25" s="411">
        <f t="shared" si="3"/>
        <v>389490</v>
      </c>
      <c r="R25" s="444">
        <f t="shared" si="4"/>
        <v>166587.5</v>
      </c>
      <c r="S25" s="443">
        <f t="shared" si="5"/>
        <v>28157.5</v>
      </c>
      <c r="T25" s="444">
        <f t="shared" si="6"/>
        <v>194745</v>
      </c>
      <c r="U25" s="411">
        <f t="shared" si="30"/>
        <v>97372.5</v>
      </c>
      <c r="V25" s="411">
        <f t="shared" si="31"/>
        <v>68160.75</v>
      </c>
      <c r="W25" s="443">
        <f t="shared" si="32"/>
        <v>165533.25</v>
      </c>
      <c r="X25" s="444">
        <f t="shared" si="7"/>
        <v>29211.75</v>
      </c>
      <c r="Y25" s="411">
        <f t="shared" si="8"/>
        <v>166587.5</v>
      </c>
      <c r="Z25" s="411">
        <f t="shared" si="9"/>
        <v>194745</v>
      </c>
      <c r="AA25" s="437" t="s">
        <v>794</v>
      </c>
      <c r="AB25" s="439" t="s">
        <v>920</v>
      </c>
      <c r="AC25" s="439" t="s">
        <v>921</v>
      </c>
      <c r="AD25" s="421" t="s">
        <v>903</v>
      </c>
      <c r="AE25" s="421" t="s">
        <v>904</v>
      </c>
      <c r="AF25" s="421" t="s">
        <v>36</v>
      </c>
      <c r="AG25" s="421">
        <v>15</v>
      </c>
      <c r="AH25" s="421">
        <v>71100</v>
      </c>
      <c r="AI25" s="421">
        <v>1011660717</v>
      </c>
      <c r="AJ25" s="440" t="s">
        <v>71</v>
      </c>
      <c r="AK25" s="421">
        <v>51</v>
      </c>
      <c r="AL25" s="421">
        <v>333</v>
      </c>
      <c r="AM25" s="445">
        <v>38205</v>
      </c>
      <c r="AN25" s="445">
        <v>38246</v>
      </c>
      <c r="AO25" s="406" t="s">
        <v>256</v>
      </c>
      <c r="AP25" s="406">
        <v>1805</v>
      </c>
      <c r="AQ25" s="421">
        <v>39</v>
      </c>
      <c r="AR25" s="421">
        <v>34</v>
      </c>
      <c r="AS25" s="679" t="s">
        <v>251</v>
      </c>
      <c r="AT25" s="679" t="s">
        <v>174</v>
      </c>
      <c r="AU25" s="472" t="s">
        <v>295</v>
      </c>
      <c r="AV25" s="473">
        <v>38281</v>
      </c>
      <c r="AW25" s="445" t="s">
        <v>154</v>
      </c>
      <c r="AX25" s="713">
        <v>38268</v>
      </c>
      <c r="AY25" s="474" t="s">
        <v>269</v>
      </c>
      <c r="AZ25" s="474" t="s">
        <v>1134</v>
      </c>
      <c r="BA25" s="474" t="s">
        <v>271</v>
      </c>
      <c r="BC25" s="421">
        <v>21814</v>
      </c>
      <c r="BD25" s="474" t="s">
        <v>270</v>
      </c>
      <c r="BF25" s="474">
        <v>6221</v>
      </c>
      <c r="BG25" s="473">
        <v>38266</v>
      </c>
      <c r="BH25" s="474" t="s">
        <v>289</v>
      </c>
      <c r="BI25" s="411">
        <f t="shared" si="33"/>
        <v>58423.5</v>
      </c>
      <c r="BJ25" s="411">
        <f t="shared" si="34"/>
        <v>49659.975</v>
      </c>
      <c r="BK25" s="419">
        <f>Disponibilità!V54</f>
        <v>2003</v>
      </c>
      <c r="BL25" s="411">
        <f t="shared" si="43"/>
        <v>8763.525</v>
      </c>
      <c r="BM25" s="419">
        <f>Disponibilità!X54</f>
        <v>2003</v>
      </c>
      <c r="BN25" s="411">
        <f>BI25*0.35</f>
        <v>20448.225</v>
      </c>
      <c r="BO25" s="411"/>
      <c r="BP25" s="411"/>
      <c r="BQ25" s="540">
        <v>475</v>
      </c>
      <c r="BR25" s="445">
        <v>38289</v>
      </c>
      <c r="BS25" s="445" t="s">
        <v>154</v>
      </c>
      <c r="BT25" s="711" t="s">
        <v>1111</v>
      </c>
      <c r="BU25" s="838" t="s">
        <v>1054</v>
      </c>
      <c r="BV25" s="435">
        <v>38323</v>
      </c>
      <c r="BW25" s="430">
        <f>49659.97+8763.53</f>
        <v>58423.5</v>
      </c>
      <c r="BX25" s="878">
        <f>49659.97+8763.53</f>
        <v>58423.5</v>
      </c>
      <c r="BY25" s="542">
        <v>114335.46</v>
      </c>
      <c r="BZ25" s="409">
        <v>57167.73</v>
      </c>
      <c r="CA25" s="409">
        <v>35729.83</v>
      </c>
      <c r="CB25" s="409">
        <f>CA25*0.85</f>
        <v>30370.3555</v>
      </c>
      <c r="CC25" s="409">
        <f>CA25*0.15</f>
        <v>5359.4745</v>
      </c>
      <c r="CD25" s="409">
        <f>CA25*0.35</f>
        <v>12505.4405</v>
      </c>
      <c r="CE25" s="409">
        <v>0</v>
      </c>
      <c r="CF25" s="409">
        <v>0</v>
      </c>
      <c r="CG25" s="540">
        <v>1329</v>
      </c>
      <c r="CH25" s="445">
        <v>38527</v>
      </c>
      <c r="CI25" s="584" t="s">
        <v>1060</v>
      </c>
      <c r="CJ25" s="445">
        <v>38552</v>
      </c>
      <c r="CK25" s="870">
        <f>30370.36+5359.47</f>
        <v>35729.83</v>
      </c>
      <c r="CL25" s="543">
        <v>25415.18</v>
      </c>
      <c r="CM25" s="409">
        <f>(CL25*0.5)</f>
        <v>12707.59</v>
      </c>
      <c r="CN25" s="409">
        <f>CM25-(CM25*0.375)</f>
        <v>7942.24375</v>
      </c>
      <c r="CO25" s="409">
        <f>CN25*0.85</f>
        <v>6750.9071875</v>
      </c>
      <c r="CP25" s="409">
        <f>CN25*0.15</f>
        <v>1191.3365625</v>
      </c>
      <c r="CQ25" s="409">
        <f>CN25*0.35</f>
        <v>2779.7853124999997</v>
      </c>
      <c r="CR25" s="409">
        <f>CQ25*0.04</f>
        <v>111.19141249999998</v>
      </c>
      <c r="CS25" s="409">
        <f>CP25*0.04</f>
        <v>47.653462499999996</v>
      </c>
      <c r="CT25" s="711" t="s">
        <v>368</v>
      </c>
      <c r="CU25" s="416">
        <v>38551</v>
      </c>
      <c r="CV25" s="579" t="s">
        <v>713</v>
      </c>
      <c r="CW25" s="416">
        <v>38596</v>
      </c>
      <c r="CX25" s="743">
        <f>6750.91+1191.34</f>
        <v>7942.25</v>
      </c>
      <c r="CY25" s="542">
        <v>58606.11</v>
      </c>
      <c r="CZ25" s="409">
        <f>(CY25*0.5)</f>
        <v>29303.055</v>
      </c>
      <c r="DA25" s="409">
        <f>CZ25-(CZ25*0.375)</f>
        <v>18314.409375</v>
      </c>
      <c r="DB25" s="409">
        <f>DA25*0.85</f>
        <v>15567.247968749998</v>
      </c>
      <c r="DC25" s="409">
        <f>DA25*0.15</f>
        <v>2747.16140625</v>
      </c>
      <c r="DD25" s="409">
        <f>DA25*0.35</f>
        <v>6410.043281249999</v>
      </c>
      <c r="DE25" s="409">
        <v>0</v>
      </c>
      <c r="DF25" s="409">
        <v>0</v>
      </c>
      <c r="DG25" s="539">
        <v>1631</v>
      </c>
      <c r="DH25" s="416">
        <v>38638</v>
      </c>
      <c r="DI25" s="579" t="s">
        <v>304</v>
      </c>
      <c r="DJ25" s="416">
        <v>38653</v>
      </c>
      <c r="DK25" s="743">
        <f>15567.25+2747.16</f>
        <v>18314.41</v>
      </c>
      <c r="DL25" s="542">
        <v>108353.2663</v>
      </c>
      <c r="DM25" s="409">
        <f>(DL25*0.5)</f>
        <v>54176.63315</v>
      </c>
      <c r="DN25" s="409">
        <f>DM25-(DM25*0.375)</f>
        <v>33860.395718750005</v>
      </c>
      <c r="DO25" s="409">
        <f>DN25*0.85</f>
        <v>28781.336360937505</v>
      </c>
      <c r="DP25" s="409">
        <f>DN25*0.15</f>
        <v>5079.059357812501</v>
      </c>
      <c r="DQ25" s="409">
        <f>DN25*0.35</f>
        <v>11851.138501562502</v>
      </c>
      <c r="DR25" s="409">
        <v>0</v>
      </c>
      <c r="DS25" s="409">
        <v>0</v>
      </c>
      <c r="DT25" s="539">
        <v>1796</v>
      </c>
      <c r="DU25" s="416">
        <v>38672</v>
      </c>
      <c r="DV25" s="581" t="s">
        <v>21</v>
      </c>
      <c r="DW25" s="416">
        <v>38698</v>
      </c>
      <c r="DX25" s="867">
        <f>28781.34+5079.06</f>
        <v>33860.4</v>
      </c>
      <c r="DY25" s="542">
        <v>67082.56366666668</v>
      </c>
      <c r="DZ25" s="409">
        <f>(DY25*0.5)</f>
        <v>33541.28183333334</v>
      </c>
      <c r="EA25" s="409">
        <f>DZ25-915.37</f>
        <v>32625.911833333343</v>
      </c>
      <c r="EB25" s="409">
        <f>EA25*0.85</f>
        <v>27732.02505833334</v>
      </c>
      <c r="EC25" s="409">
        <f>EA25*0.15</f>
        <v>4893.886775000001</v>
      </c>
      <c r="ED25" s="409">
        <f>EA25*0.35</f>
        <v>11419.069141666669</v>
      </c>
      <c r="EE25" s="409">
        <v>0</v>
      </c>
      <c r="EF25" s="409">
        <v>0</v>
      </c>
      <c r="EG25" s="539">
        <v>395</v>
      </c>
      <c r="EH25" s="416">
        <v>39393</v>
      </c>
      <c r="EI25" s="581" t="s">
        <v>1418</v>
      </c>
      <c r="EJ25" s="416">
        <v>39409</v>
      </c>
      <c r="EK25" s="743">
        <f>27732.02+4893.89</f>
        <v>32625.91</v>
      </c>
      <c r="EL25" s="542"/>
      <c r="EM25" s="542"/>
      <c r="EN25" s="542"/>
      <c r="EO25" s="542"/>
      <c r="EP25" s="542"/>
      <c r="EQ25" s="542"/>
      <c r="ER25" s="542"/>
      <c r="ES25" s="542"/>
      <c r="ET25" s="539"/>
      <c r="EU25" s="416"/>
      <c r="EV25" s="581"/>
      <c r="EW25" s="416"/>
      <c r="EX25" s="872"/>
      <c r="EY25" s="542"/>
      <c r="EZ25" s="542"/>
      <c r="FA25" s="542"/>
      <c r="FB25" s="542"/>
      <c r="FC25" s="542"/>
      <c r="FD25" s="542"/>
      <c r="FE25" s="542"/>
      <c r="FF25" s="542"/>
      <c r="FG25" s="542"/>
      <c r="FH25" s="542"/>
      <c r="FI25" s="542"/>
      <c r="FJ25" s="542"/>
      <c r="FK25" s="872">
        <f>+FA25</f>
        <v>0</v>
      </c>
      <c r="FL25" s="542"/>
      <c r="FM25" s="542"/>
      <c r="FN25" s="542"/>
      <c r="FO25" s="542"/>
      <c r="FP25" s="542"/>
      <c r="FQ25" s="542"/>
      <c r="FR25" s="542"/>
      <c r="FS25" s="542"/>
      <c r="FT25" s="542"/>
      <c r="FU25" s="542"/>
      <c r="FV25" s="542"/>
      <c r="FW25" s="542"/>
      <c r="FX25" s="872"/>
      <c r="FY25" s="542"/>
      <c r="FZ25" s="542"/>
      <c r="GA25" s="542"/>
      <c r="GB25" s="542"/>
      <c r="GC25" s="542"/>
      <c r="GD25" s="542"/>
      <c r="GE25" s="542"/>
      <c r="GF25" s="542"/>
      <c r="GG25" s="542"/>
      <c r="GH25" s="542"/>
      <c r="GI25" s="542"/>
      <c r="GJ25" s="542"/>
      <c r="GK25" s="872"/>
      <c r="GL25" s="872"/>
      <c r="GM25" s="872"/>
      <c r="GN25" s="872"/>
      <c r="GO25" s="872"/>
      <c r="GP25" s="872"/>
      <c r="GQ25" s="872"/>
      <c r="GR25" s="872"/>
      <c r="GS25" s="872"/>
      <c r="GT25" s="872"/>
      <c r="GU25" s="872"/>
      <c r="GV25" s="872"/>
      <c r="GW25" s="872"/>
      <c r="GX25" s="872"/>
      <c r="GY25" s="899"/>
      <c r="GZ25" s="888">
        <f t="shared" si="38"/>
        <v>186896.28998333335</v>
      </c>
      <c r="HA25" s="443">
        <f t="shared" si="39"/>
        <v>128472.80000000002</v>
      </c>
      <c r="HB25" s="568">
        <v>38139</v>
      </c>
      <c r="HC25" s="571">
        <v>16</v>
      </c>
      <c r="HD25" s="697">
        <f t="shared" si="46"/>
        <v>1.3333333333333333</v>
      </c>
      <c r="HE25" s="441">
        <f t="shared" si="40"/>
        <v>38625.666666666664</v>
      </c>
      <c r="HF25" s="444">
        <f t="shared" si="41"/>
        <v>186896.28998333335</v>
      </c>
      <c r="HG25" s="817">
        <v>4</v>
      </c>
      <c r="HH25" s="444">
        <f t="shared" si="48"/>
        <v>46724.07249583334</v>
      </c>
      <c r="HI25" s="444">
        <f t="shared" si="49"/>
        <v>70086.10874375001</v>
      </c>
      <c r="HJ25" s="542">
        <f>(T25*0.5)/HD25</f>
        <v>73029.375</v>
      </c>
      <c r="HK25" s="542">
        <f>(T25*0.2)</f>
        <v>38949</v>
      </c>
      <c r="HL25" s="542"/>
      <c r="HN25" s="543"/>
      <c r="HO25" s="974">
        <f t="shared" si="62"/>
        <v>373792.5799666667</v>
      </c>
      <c r="HP25" s="974">
        <f t="shared" si="63"/>
        <v>186896.28998333335</v>
      </c>
      <c r="HQ25" s="974">
        <f t="shared" si="64"/>
        <v>93448.14499166668</v>
      </c>
      <c r="HR25" s="974">
        <f t="shared" si="65"/>
        <v>65413.70149416667</v>
      </c>
      <c r="HS25" s="974">
        <f t="shared" si="66"/>
        <v>158861.84648583335</v>
      </c>
      <c r="HT25" s="974">
        <f t="shared" si="67"/>
        <v>28034.4434975</v>
      </c>
      <c r="HU25" s="974">
        <f t="shared" si="68"/>
        <v>186896.28998333335</v>
      </c>
    </row>
    <row r="26" spans="1:229" s="474" customFormat="1" ht="12" customHeight="1">
      <c r="A26" s="421">
        <v>24</v>
      </c>
      <c r="B26" s="406" t="s">
        <v>177</v>
      </c>
      <c r="C26" s="433">
        <v>50</v>
      </c>
      <c r="D26" s="474" t="s">
        <v>126</v>
      </c>
      <c r="E26" s="474" t="s">
        <v>987</v>
      </c>
      <c r="G26" s="474" t="s">
        <v>1453</v>
      </c>
      <c r="H26" s="821" t="s">
        <v>1197</v>
      </c>
      <c r="I26" s="529" t="s">
        <v>1139</v>
      </c>
      <c r="J26" s="444">
        <v>3845266</v>
      </c>
      <c r="K26" s="421">
        <v>65</v>
      </c>
      <c r="L26" s="410" t="str">
        <f t="shared" si="0"/>
        <v>è</v>
      </c>
      <c r="M26" s="410" t="s">
        <v>793</v>
      </c>
      <c r="N26" s="443">
        <v>1024293</v>
      </c>
      <c r="O26" s="443">
        <f t="shared" si="1"/>
        <v>2820973</v>
      </c>
      <c r="P26" s="443">
        <f t="shared" si="2"/>
        <v>564194.6</v>
      </c>
      <c r="Q26" s="411">
        <f t="shared" si="3"/>
        <v>4409460.6</v>
      </c>
      <c r="R26" s="444">
        <f t="shared" si="4"/>
        <v>2499422.9</v>
      </c>
      <c r="S26" s="443">
        <f t="shared" si="5"/>
        <v>366726.49</v>
      </c>
      <c r="T26" s="444">
        <f t="shared" si="6"/>
        <v>2500000</v>
      </c>
      <c r="U26" s="411">
        <f t="shared" si="30"/>
        <v>1250000</v>
      </c>
      <c r="V26" s="411">
        <f t="shared" si="31"/>
        <v>875000</v>
      </c>
      <c r="W26" s="443">
        <f t="shared" si="32"/>
        <v>2125000</v>
      </c>
      <c r="X26" s="444">
        <f t="shared" si="7"/>
        <v>375000</v>
      </c>
      <c r="Y26" s="411">
        <f t="shared" si="8"/>
        <v>1345843.1</v>
      </c>
      <c r="Z26" s="411">
        <f t="shared" si="9"/>
        <v>1909460.5999999996</v>
      </c>
      <c r="AA26" s="437" t="s">
        <v>794</v>
      </c>
      <c r="AB26" s="439" t="s">
        <v>895</v>
      </c>
      <c r="AC26" s="439" t="s">
        <v>906</v>
      </c>
      <c r="AD26" s="421" t="s">
        <v>797</v>
      </c>
      <c r="AE26" s="421" t="s">
        <v>1018</v>
      </c>
      <c r="AF26" s="421" t="s">
        <v>1019</v>
      </c>
      <c r="AG26" s="421">
        <v>33</v>
      </c>
      <c r="AH26" s="421">
        <v>70122</v>
      </c>
      <c r="AI26" s="439" t="s">
        <v>586</v>
      </c>
      <c r="AJ26" s="440" t="s">
        <v>125</v>
      </c>
      <c r="AK26" s="421">
        <v>51</v>
      </c>
      <c r="AL26" s="421">
        <v>331</v>
      </c>
      <c r="AM26" s="445">
        <v>38205</v>
      </c>
      <c r="AN26" s="445">
        <v>38246</v>
      </c>
      <c r="AO26" s="406" t="s">
        <v>178</v>
      </c>
      <c r="AP26" s="406">
        <v>1804</v>
      </c>
      <c r="AQ26" s="421">
        <v>37</v>
      </c>
      <c r="AR26" s="421">
        <v>32</v>
      </c>
      <c r="AS26" s="679" t="s">
        <v>183</v>
      </c>
      <c r="AT26" s="679" t="s">
        <v>183</v>
      </c>
      <c r="AU26" s="472" t="s">
        <v>295</v>
      </c>
      <c r="AV26" s="473">
        <v>38322</v>
      </c>
      <c r="AW26" s="473">
        <v>38320</v>
      </c>
      <c r="AX26" s="713">
        <v>38320</v>
      </c>
      <c r="AY26" s="474" t="s">
        <v>1133</v>
      </c>
      <c r="AZ26" s="474" t="s">
        <v>1135</v>
      </c>
      <c r="BA26" s="474" t="s">
        <v>1136</v>
      </c>
      <c r="BB26" s="474" t="s">
        <v>126</v>
      </c>
      <c r="BC26" s="439" t="s">
        <v>1137</v>
      </c>
      <c r="BD26" s="474" t="s">
        <v>1138</v>
      </c>
      <c r="BE26" s="474" t="s">
        <v>585</v>
      </c>
      <c r="BF26" s="536" t="s">
        <v>576</v>
      </c>
      <c r="BG26" s="473">
        <v>38700</v>
      </c>
      <c r="BH26" s="474" t="s">
        <v>577</v>
      </c>
      <c r="BI26" s="411">
        <f t="shared" si="33"/>
        <v>750000</v>
      </c>
      <c r="BJ26" s="411">
        <f t="shared" si="34"/>
        <v>637500</v>
      </c>
      <c r="BK26" s="479" t="s">
        <v>1104</v>
      </c>
      <c r="BL26" s="411">
        <f t="shared" si="43"/>
        <v>112500</v>
      </c>
      <c r="BM26" s="479" t="s">
        <v>1104</v>
      </c>
      <c r="BN26" s="411">
        <f>BI26*0.35</f>
        <v>262500</v>
      </c>
      <c r="BO26" s="411"/>
      <c r="BP26" s="411"/>
      <c r="BQ26" s="540">
        <v>701</v>
      </c>
      <c r="BR26" s="445">
        <v>38338</v>
      </c>
      <c r="BS26" s="421" t="s">
        <v>154</v>
      </c>
      <c r="BT26" s="539">
        <v>5718</v>
      </c>
      <c r="BU26" s="726" t="s">
        <v>1171</v>
      </c>
      <c r="BV26" s="416">
        <v>38342</v>
      </c>
      <c r="BW26" s="430">
        <f>637500+112500</f>
        <v>750000</v>
      </c>
      <c r="BX26" s="878">
        <f>637500+112500</f>
        <v>750000</v>
      </c>
      <c r="BY26" s="542">
        <v>388727.36</v>
      </c>
      <c r="BZ26" s="409">
        <f>(BY26*0.65)</f>
        <v>252672.78399999999</v>
      </c>
      <c r="CA26" s="409">
        <f>BZ26-(BZ26*0.375)</f>
        <v>157920.49</v>
      </c>
      <c r="CB26" s="409">
        <f>CA26*0.85</f>
        <v>134232.4165</v>
      </c>
      <c r="CC26" s="409">
        <f>CA26*0.15</f>
        <v>23688.0735</v>
      </c>
      <c r="CD26" s="409">
        <f>CA26*0.35</f>
        <v>55272.1715</v>
      </c>
      <c r="CE26" s="409">
        <v>0</v>
      </c>
      <c r="CF26" s="409">
        <v>0</v>
      </c>
      <c r="CG26" s="540">
        <v>1855</v>
      </c>
      <c r="CH26" s="445">
        <v>38677</v>
      </c>
      <c r="CI26" s="580" t="s">
        <v>18</v>
      </c>
      <c r="CJ26" s="445">
        <v>38698</v>
      </c>
      <c r="CK26" s="870">
        <f>134232.42+23688.07</f>
        <v>157920.49000000002</v>
      </c>
      <c r="CL26" s="542">
        <v>864630.28</v>
      </c>
      <c r="CM26" s="409">
        <f>(CL26*0.65)</f>
        <v>562009.682</v>
      </c>
      <c r="CN26" s="409">
        <f>CM26-(CM26*0.375)</f>
        <v>351256.05125</v>
      </c>
      <c r="CO26" s="409">
        <f>CN26*0.85</f>
        <v>298567.6435625</v>
      </c>
      <c r="CP26" s="409">
        <f>CN26*0.15</f>
        <v>52688.4076875</v>
      </c>
      <c r="CQ26" s="409">
        <f>CN26*0.35</f>
        <v>122939.61793749999</v>
      </c>
      <c r="CR26" s="543">
        <v>0</v>
      </c>
      <c r="CS26" s="543">
        <v>0</v>
      </c>
      <c r="CT26" s="540">
        <v>412</v>
      </c>
      <c r="CU26" s="445">
        <v>39406</v>
      </c>
      <c r="CV26" s="580" t="s">
        <v>1424</v>
      </c>
      <c r="CW26" s="445">
        <v>39415</v>
      </c>
      <c r="CX26" s="743">
        <f>+CN26</f>
        <v>351256.05125</v>
      </c>
      <c r="CY26" s="542">
        <v>300915.81</v>
      </c>
      <c r="CZ26" s="409">
        <f>(CY26*0.65)</f>
        <v>195595.2765</v>
      </c>
      <c r="DA26" s="409">
        <f>CZ26-(CZ26*0.375)</f>
        <v>122247.04781250001</v>
      </c>
      <c r="DB26" s="409">
        <f>DA26*0.85</f>
        <v>103909.99064062501</v>
      </c>
      <c r="DC26" s="409">
        <f>DA26*0.15</f>
        <v>18337.057171875</v>
      </c>
      <c r="DD26" s="409">
        <f>DA26*0.35</f>
        <v>42786.466734375</v>
      </c>
      <c r="DE26" s="543">
        <v>0</v>
      </c>
      <c r="DF26" s="543">
        <v>0</v>
      </c>
      <c r="DG26" s="539">
        <v>329</v>
      </c>
      <c r="DH26" s="445">
        <v>39696</v>
      </c>
      <c r="DI26" s="581" t="s">
        <v>356</v>
      </c>
      <c r="DJ26" s="416">
        <v>39716</v>
      </c>
      <c r="DK26" s="743">
        <f>DA26</f>
        <v>122247.04781250001</v>
      </c>
      <c r="DL26" s="542">
        <v>687487.92</v>
      </c>
      <c r="DM26" s="409">
        <f>(DL26*0.65)</f>
        <v>446867.14800000004</v>
      </c>
      <c r="DN26" s="409">
        <f>DM26-(DM26*0.375)</f>
        <v>279291.9675</v>
      </c>
      <c r="DO26" s="409">
        <f>DN26*0.85</f>
        <v>237398.17237500002</v>
      </c>
      <c r="DP26" s="409">
        <f>DN26*0.15</f>
        <v>41893.795125000004</v>
      </c>
      <c r="DQ26" s="409">
        <f>DN26*0.35</f>
        <v>97752.18862500001</v>
      </c>
      <c r="DR26" s="543"/>
      <c r="DS26" s="543"/>
      <c r="DT26" s="711">
        <v>532</v>
      </c>
      <c r="DU26" s="473">
        <v>39765</v>
      </c>
      <c r="DV26" s="580" t="s">
        <v>232</v>
      </c>
      <c r="DW26" s="445">
        <v>39783</v>
      </c>
      <c r="DX26" s="867">
        <f>DN26</f>
        <v>279291.9675</v>
      </c>
      <c r="DY26" s="542">
        <f>491337.75</f>
        <v>491337.75</v>
      </c>
      <c r="DZ26" s="409">
        <f>(DY26*0.65)</f>
        <v>319369.53750000003</v>
      </c>
      <c r="EA26" s="409">
        <f>DZ26-203570.67</f>
        <v>115798.86750000002</v>
      </c>
      <c r="EB26" s="409">
        <f>EA26*0.85</f>
        <v>98429.03737500001</v>
      </c>
      <c r="EC26" s="409">
        <f>EA26*0.15</f>
        <v>17369.830125000004</v>
      </c>
      <c r="ED26" s="409">
        <f>EA26*0.35</f>
        <v>40529.603625</v>
      </c>
      <c r="EE26" s="543"/>
      <c r="EF26" s="543"/>
      <c r="EG26" s="540">
        <v>339</v>
      </c>
      <c r="EH26" s="445">
        <v>39967</v>
      </c>
      <c r="EI26" s="1165" t="s">
        <v>403</v>
      </c>
      <c r="EJ26" s="445"/>
      <c r="EK26" s="847"/>
      <c r="EL26" s="443"/>
      <c r="EM26" s="409"/>
      <c r="EN26" s="409"/>
      <c r="EO26" s="409"/>
      <c r="EP26" s="409"/>
      <c r="EQ26" s="409"/>
      <c r="ER26" s="543"/>
      <c r="ES26" s="543"/>
      <c r="ET26" s="540"/>
      <c r="EU26" s="445"/>
      <c r="EV26" s="1191"/>
      <c r="EW26" s="445"/>
      <c r="EX26" s="870"/>
      <c r="EY26" s="543"/>
      <c r="EZ26" s="543"/>
      <c r="FA26" s="543"/>
      <c r="FB26" s="543"/>
      <c r="FC26" s="543"/>
      <c r="FD26" s="543"/>
      <c r="FE26" s="543"/>
      <c r="FF26" s="543"/>
      <c r="FG26" s="543"/>
      <c r="FH26" s="543"/>
      <c r="FI26" s="543"/>
      <c r="FJ26" s="543"/>
      <c r="FK26" s="872">
        <f>+FA26</f>
        <v>0</v>
      </c>
      <c r="FL26" s="543"/>
      <c r="FM26" s="543"/>
      <c r="FN26" s="543"/>
      <c r="FO26" s="543"/>
      <c r="FP26" s="543"/>
      <c r="FQ26" s="543"/>
      <c r="FR26" s="543"/>
      <c r="FS26" s="543"/>
      <c r="FT26" s="543"/>
      <c r="FU26" s="543"/>
      <c r="FV26" s="543"/>
      <c r="FW26" s="543"/>
      <c r="FX26" s="870"/>
      <c r="FY26" s="543"/>
      <c r="FZ26" s="543"/>
      <c r="GA26" s="543"/>
      <c r="GB26" s="543"/>
      <c r="GC26" s="543"/>
      <c r="GD26" s="543"/>
      <c r="GE26" s="543"/>
      <c r="GF26" s="543"/>
      <c r="GG26" s="543"/>
      <c r="GH26" s="543"/>
      <c r="GI26" s="543"/>
      <c r="GJ26" s="543"/>
      <c r="GK26" s="870"/>
      <c r="GL26" s="870"/>
      <c r="GM26" s="870"/>
      <c r="GN26" s="870"/>
      <c r="GO26" s="870"/>
      <c r="GP26" s="870"/>
      <c r="GQ26" s="870"/>
      <c r="GR26" s="870"/>
      <c r="GS26" s="870"/>
      <c r="GT26" s="870"/>
      <c r="GU26" s="870"/>
      <c r="GV26" s="870"/>
      <c r="GW26" s="870"/>
      <c r="GX26" s="870"/>
      <c r="GY26" s="899"/>
      <c r="GZ26" s="888">
        <f t="shared" si="38"/>
        <v>1776514.4280000003</v>
      </c>
      <c r="HA26" s="443">
        <f t="shared" si="39"/>
        <v>910715.5565625001</v>
      </c>
      <c r="HB26" s="568">
        <v>38141</v>
      </c>
      <c r="HC26" s="571">
        <f>36+6</f>
        <v>42</v>
      </c>
      <c r="HD26" s="697">
        <f t="shared" si="46"/>
        <v>3.5</v>
      </c>
      <c r="HE26" s="441">
        <f t="shared" si="40"/>
        <v>39418.5</v>
      </c>
      <c r="HF26" s="444">
        <f t="shared" si="41"/>
        <v>1776514.4280000003</v>
      </c>
      <c r="HG26" s="817">
        <v>1</v>
      </c>
      <c r="HH26" s="444">
        <f t="shared" si="48"/>
        <v>1776514.4280000003</v>
      </c>
      <c r="HI26" s="444">
        <f t="shared" si="49"/>
        <v>2664771.6420000005</v>
      </c>
      <c r="HJ26" s="542">
        <f>(T26*0.5)/HD26</f>
        <v>357142.85714285716</v>
      </c>
      <c r="HK26" s="542">
        <f>(T26*0.5)/HD26</f>
        <v>357142.85714285716</v>
      </c>
      <c r="HL26" s="542">
        <f>(T26*0.5)/HD26</f>
        <v>357142.85714285716</v>
      </c>
      <c r="HM26" s="542">
        <f t="shared" si="42"/>
        <v>500000</v>
      </c>
      <c r="HN26" s="543"/>
      <c r="HO26" s="974">
        <f t="shared" si="62"/>
        <v>2733099.1199999996</v>
      </c>
      <c r="HP26" s="974">
        <f t="shared" si="63"/>
        <v>1776514.4280000003</v>
      </c>
      <c r="HQ26" s="974">
        <f t="shared" si="64"/>
        <v>888257.2140000002</v>
      </c>
      <c r="HR26" s="974">
        <f t="shared" si="65"/>
        <v>621780.0498</v>
      </c>
      <c r="HS26" s="974">
        <f t="shared" si="66"/>
        <v>1510037.2638000003</v>
      </c>
      <c r="HT26" s="974">
        <f t="shared" si="67"/>
        <v>266477.16420000006</v>
      </c>
      <c r="HU26" s="974">
        <f t="shared" si="68"/>
        <v>956584.6919999993</v>
      </c>
    </row>
    <row r="27" spans="1:222" s="666" customFormat="1" ht="12" customHeight="1">
      <c r="A27" s="658"/>
      <c r="B27" s="658"/>
      <c r="C27" s="616"/>
      <c r="D27" s="658" t="s">
        <v>479</v>
      </c>
      <c r="E27" s="618"/>
      <c r="F27" s="618"/>
      <c r="G27" s="618"/>
      <c r="H27" s="823"/>
      <c r="I27" s="659"/>
      <c r="J27" s="660">
        <f>SUM(J3:J26)</f>
        <v>41630388.91</v>
      </c>
      <c r="K27" s="616"/>
      <c r="L27" s="616"/>
      <c r="M27" s="616"/>
      <c r="N27" s="661">
        <f>SUM(N3:N26)</f>
        <v>14742251</v>
      </c>
      <c r="O27" s="661">
        <f aca="true" t="shared" si="82" ref="O27:Z27">SUM(O3:O26)</f>
        <v>26888137.91</v>
      </c>
      <c r="P27" s="661">
        <f t="shared" si="82"/>
        <v>5377627.582</v>
      </c>
      <c r="Q27" s="660">
        <f t="shared" si="82"/>
        <v>47008016.492000006</v>
      </c>
      <c r="R27" s="660">
        <f t="shared" si="82"/>
        <v>26601923.6665</v>
      </c>
      <c r="S27" s="661">
        <f t="shared" si="82"/>
        <v>3438870.9533</v>
      </c>
      <c r="T27" s="660">
        <f t="shared" si="82"/>
        <v>28988439.09</v>
      </c>
      <c r="U27" s="660">
        <f t="shared" si="82"/>
        <v>14494219.545</v>
      </c>
      <c r="V27" s="660">
        <f t="shared" si="82"/>
        <v>10145953.6815</v>
      </c>
      <c r="W27" s="661">
        <f t="shared" si="82"/>
        <v>24640173.2265</v>
      </c>
      <c r="X27" s="660">
        <f t="shared" si="82"/>
        <v>4348265.863500001</v>
      </c>
      <c r="Y27" s="660"/>
      <c r="Z27" s="660">
        <f t="shared" si="82"/>
        <v>18019577.402</v>
      </c>
      <c r="AA27" s="662"/>
      <c r="AB27" s="616"/>
      <c r="AC27" s="616"/>
      <c r="AD27" s="616"/>
      <c r="AE27" s="616"/>
      <c r="AF27" s="663"/>
      <c r="AG27" s="616"/>
      <c r="AH27" s="616"/>
      <c r="AI27" s="616"/>
      <c r="AJ27" s="664"/>
      <c r="AK27" s="616"/>
      <c r="AL27" s="616"/>
      <c r="AM27" s="662"/>
      <c r="AN27" s="662"/>
      <c r="AO27" s="658"/>
      <c r="AP27" s="658"/>
      <c r="AQ27" s="616"/>
      <c r="AR27" s="616"/>
      <c r="AS27" s="663"/>
      <c r="AT27" s="663"/>
      <c r="AU27" s="665"/>
      <c r="AV27" s="829"/>
      <c r="AW27" s="829"/>
      <c r="AX27" s="831"/>
      <c r="AY27" s="667"/>
      <c r="AZ27" s="667"/>
      <c r="BA27" s="667"/>
      <c r="BB27" s="667"/>
      <c r="BC27" s="668"/>
      <c r="BD27" s="667"/>
      <c r="BE27" s="667"/>
      <c r="BF27" s="667"/>
      <c r="BG27" s="829"/>
      <c r="BH27" s="667"/>
      <c r="BI27" s="660"/>
      <c r="BJ27" s="660"/>
      <c r="BK27" s="669"/>
      <c r="BL27" s="660"/>
      <c r="BM27" s="669"/>
      <c r="BN27" s="660"/>
      <c r="BO27" s="660"/>
      <c r="BP27" s="660"/>
      <c r="BQ27" s="670"/>
      <c r="BR27" s="834"/>
      <c r="BS27" s="668"/>
      <c r="BT27" s="671"/>
      <c r="BU27" s="839"/>
      <c r="BV27" s="672"/>
      <c r="BW27" s="705"/>
      <c r="BX27" s="879">
        <f>SUM(BX3:BX26)</f>
        <v>8593876.96</v>
      </c>
      <c r="BY27" s="509"/>
      <c r="BZ27" s="660"/>
      <c r="CA27" s="661">
        <f>SUM(CA3:CA26)</f>
        <v>2754977.6816787496</v>
      </c>
      <c r="CB27" s="660"/>
      <c r="CC27" s="660"/>
      <c r="CD27" s="660"/>
      <c r="CE27" s="660"/>
      <c r="CF27" s="660"/>
      <c r="CG27" s="670"/>
      <c r="CH27" s="834"/>
      <c r="CI27" s="673"/>
      <c r="CJ27" s="834"/>
      <c r="CK27" s="874">
        <f>SUM(CK3:CK26)</f>
        <v>2754977.4996874994</v>
      </c>
      <c r="CL27" s="665"/>
      <c r="CM27" s="665"/>
      <c r="CN27" s="665">
        <f>SUM(CN3:CN26)</f>
        <v>2126719.0493049165</v>
      </c>
      <c r="CO27" s="665"/>
      <c r="CP27" s="665"/>
      <c r="CQ27" s="665"/>
      <c r="CR27" s="665"/>
      <c r="CS27" s="665"/>
      <c r="CT27" s="670"/>
      <c r="CU27" s="834"/>
      <c r="CV27" s="673"/>
      <c r="CW27" s="834"/>
      <c r="CX27" s="862">
        <f>SUM(CX3:CX26)</f>
        <v>2126199.4477205416</v>
      </c>
      <c r="CY27" s="665"/>
      <c r="CZ27" s="665"/>
      <c r="DA27" s="665">
        <f>SUM(DA3:DA26)</f>
        <v>2069408.6654803122</v>
      </c>
      <c r="DB27" s="665"/>
      <c r="DC27" s="665"/>
      <c r="DD27" s="665"/>
      <c r="DE27" s="665"/>
      <c r="DF27" s="665"/>
      <c r="DG27" s="670"/>
      <c r="DH27" s="834"/>
      <c r="DI27" s="673"/>
      <c r="DJ27" s="834"/>
      <c r="DK27" s="862">
        <f>SUM(DK3:DK26)</f>
        <v>2071033.866</v>
      </c>
      <c r="DL27" s="665"/>
      <c r="DM27" s="665"/>
      <c r="DN27" s="665"/>
      <c r="DO27" s="665"/>
      <c r="DP27" s="665"/>
      <c r="DQ27" s="665"/>
      <c r="DR27" s="665"/>
      <c r="DS27" s="665"/>
      <c r="DT27" s="670"/>
      <c r="DU27" s="834"/>
      <c r="DV27" s="673"/>
      <c r="DW27" s="834"/>
      <c r="DX27" s="862">
        <f>SUM(DX3:DX26)</f>
        <v>2228654.06228875</v>
      </c>
      <c r="DY27" s="665"/>
      <c r="DZ27" s="665"/>
      <c r="EA27" s="665"/>
      <c r="EB27" s="665"/>
      <c r="EC27" s="665"/>
      <c r="ED27" s="665"/>
      <c r="EE27" s="665"/>
      <c r="EF27" s="665"/>
      <c r="EG27" s="670"/>
      <c r="EH27" s="834"/>
      <c r="EI27" s="673"/>
      <c r="EJ27" s="834"/>
      <c r="EK27" s="862">
        <f>SUM(EK3:EK26)</f>
        <v>1377621.65484375</v>
      </c>
      <c r="EL27" s="665"/>
      <c r="EM27" s="665"/>
      <c r="EN27" s="665"/>
      <c r="EO27" s="665"/>
      <c r="EP27" s="665"/>
      <c r="EQ27" s="665"/>
      <c r="ER27" s="665"/>
      <c r="ES27" s="665"/>
      <c r="ET27" s="670"/>
      <c r="EU27" s="834"/>
      <c r="EV27" s="673"/>
      <c r="EW27" s="834"/>
      <c r="EX27" s="874"/>
      <c r="EY27" s="665"/>
      <c r="EZ27" s="665"/>
      <c r="FA27" s="665"/>
      <c r="FB27" s="665"/>
      <c r="FC27" s="665"/>
      <c r="FD27" s="665"/>
      <c r="FE27" s="665"/>
      <c r="FF27" s="665"/>
      <c r="FG27" s="665"/>
      <c r="FH27" s="665"/>
      <c r="FI27" s="665"/>
      <c r="FJ27" s="665"/>
      <c r="FK27" s="874"/>
      <c r="FL27" s="665"/>
      <c r="FM27" s="665"/>
      <c r="FN27" s="665"/>
      <c r="FO27" s="665"/>
      <c r="FP27" s="665"/>
      <c r="FQ27" s="665"/>
      <c r="FR27" s="665"/>
      <c r="FS27" s="665"/>
      <c r="FT27" s="665"/>
      <c r="FU27" s="665"/>
      <c r="FV27" s="665"/>
      <c r="FW27" s="665"/>
      <c r="FX27" s="874"/>
      <c r="FY27" s="665"/>
      <c r="FZ27" s="665"/>
      <c r="GA27" s="665"/>
      <c r="GB27" s="665"/>
      <c r="GC27" s="665"/>
      <c r="GD27" s="665"/>
      <c r="GE27" s="665"/>
      <c r="GF27" s="665"/>
      <c r="GG27" s="665"/>
      <c r="GH27" s="665"/>
      <c r="GI27" s="665"/>
      <c r="GJ27" s="665"/>
      <c r="GK27" s="874"/>
      <c r="GL27" s="874"/>
      <c r="GM27" s="874"/>
      <c r="GN27" s="874"/>
      <c r="GO27" s="874"/>
      <c r="GP27" s="874"/>
      <c r="GQ27" s="874"/>
      <c r="GR27" s="874"/>
      <c r="GS27" s="874"/>
      <c r="GT27" s="874"/>
      <c r="GU27" s="874"/>
      <c r="GV27" s="874"/>
      <c r="GW27" s="874"/>
      <c r="GX27" s="874"/>
      <c r="GY27" s="900"/>
      <c r="GZ27" s="885">
        <f>SUM(GZ3:GZ26)</f>
        <v>20680476.460400417</v>
      </c>
      <c r="HA27" s="665">
        <f>SUM(HA3:HA26)</f>
        <v>11956732.3377627</v>
      </c>
      <c r="HB27" s="849"/>
      <c r="HC27" s="670"/>
      <c r="HD27" s="698"/>
      <c r="HE27" s="698"/>
      <c r="HF27" s="665">
        <f>SUM(HF3:HF26)</f>
        <v>19772630.67540042</v>
      </c>
      <c r="HG27" s="670"/>
      <c r="HH27" s="698"/>
      <c r="HI27" s="816">
        <f>SUM(HI3:HI26)</f>
        <v>17166741.70402977</v>
      </c>
      <c r="HJ27" s="509">
        <f>SUM(HJ3:HJ26)</f>
        <v>5263101.404219342</v>
      </c>
      <c r="HK27" s="509">
        <f>SUM(HK3:HK26)</f>
        <v>4200878.776552676</v>
      </c>
      <c r="HL27" s="509">
        <f>SUM(HL3:HL26)</f>
        <v>3826946.4003621996</v>
      </c>
      <c r="HM27" s="509">
        <f>SUM(HM3:HM26)</f>
        <v>4381876.014</v>
      </c>
      <c r="HN27" s="665"/>
    </row>
    <row r="28" spans="4:84" ht="11.25">
      <c r="D28" s="155" t="s">
        <v>431</v>
      </c>
      <c r="I28" s="528"/>
      <c r="J28" s="431"/>
      <c r="K28" s="405"/>
      <c r="L28" s="405"/>
      <c r="M28" s="405"/>
      <c r="N28" s="430"/>
      <c r="O28" s="430"/>
      <c r="P28" s="430"/>
      <c r="Q28" s="431"/>
      <c r="R28" s="431"/>
      <c r="S28" s="430"/>
      <c r="T28" s="431">
        <f>T27-T32-T31-T30-T29</f>
        <v>23676284.89</v>
      </c>
      <c r="U28" s="431"/>
      <c r="V28" s="431"/>
      <c r="W28" s="430"/>
      <c r="X28" s="431"/>
      <c r="Y28" s="431"/>
      <c r="Z28" s="431"/>
      <c r="AA28" s="416"/>
      <c r="AB28" s="405"/>
      <c r="AC28" s="405"/>
      <c r="AD28" s="405"/>
      <c r="AE28" s="405"/>
      <c r="AF28" s="291"/>
      <c r="AG28" s="405"/>
      <c r="AH28" s="405"/>
      <c r="AI28" s="405"/>
      <c r="AJ28" s="447"/>
      <c r="AK28" s="405"/>
      <c r="AL28" s="405"/>
      <c r="AM28" s="416"/>
      <c r="AN28" s="416"/>
      <c r="AQ28" s="405"/>
      <c r="AR28" s="405"/>
      <c r="AS28" s="291"/>
      <c r="AT28" s="291"/>
      <c r="BI28" s="431"/>
      <c r="BJ28" s="431"/>
      <c r="BK28" s="450"/>
      <c r="BL28" s="431"/>
      <c r="BM28" s="450"/>
      <c r="BN28" s="431"/>
      <c r="BO28" s="431"/>
      <c r="BP28" s="431"/>
      <c r="BZ28" s="431"/>
      <c r="CA28" s="431"/>
      <c r="CB28" s="431"/>
      <c r="CC28" s="431"/>
      <c r="CD28" s="431"/>
      <c r="CE28" s="431"/>
      <c r="CF28" s="431"/>
    </row>
    <row r="29" spans="1:222" s="462" customFormat="1" ht="22.5">
      <c r="A29" s="451"/>
      <c r="B29" s="452" t="e">
        <f>IF(#REF!&gt;0,"si","no")</f>
        <v>#REF!</v>
      </c>
      <c r="C29" s="452">
        <v>21</v>
      </c>
      <c r="D29" s="523" t="s">
        <v>40</v>
      </c>
      <c r="E29" s="523" t="s">
        <v>839</v>
      </c>
      <c r="F29" s="523"/>
      <c r="G29" s="523"/>
      <c r="H29" s="824"/>
      <c r="I29" s="530"/>
      <c r="J29" s="411">
        <v>600000</v>
      </c>
      <c r="K29" s="453">
        <v>65</v>
      </c>
      <c r="L29" s="453" t="str">
        <f>IF(K29&gt;51,"è","non è")</f>
        <v>è</v>
      </c>
      <c r="M29" s="453" t="s">
        <v>793</v>
      </c>
      <c r="N29" s="411">
        <v>0</v>
      </c>
      <c r="O29" s="411">
        <f>+J29-N29</f>
        <v>600000</v>
      </c>
      <c r="P29" s="411">
        <f>+O29*0.2</f>
        <v>120000</v>
      </c>
      <c r="Q29" s="411">
        <f>J29+P29</f>
        <v>720000</v>
      </c>
      <c r="R29" s="411">
        <f>IF(J29*K29/100&gt;2500000,2500000,J29*K29/100)</f>
        <v>390000</v>
      </c>
      <c r="S29" s="411">
        <f>+P29*K29/100</f>
        <v>78000</v>
      </c>
      <c r="T29" s="411">
        <f>IF(R29+S29&gt;2500000,2500000,R29+S29)</f>
        <v>468000</v>
      </c>
      <c r="U29" s="411">
        <f>T29*0.5</f>
        <v>234000</v>
      </c>
      <c r="V29" s="411">
        <f>T29*0.35</f>
        <v>163800</v>
      </c>
      <c r="W29" s="411">
        <f>+T29*0.85</f>
        <v>397800</v>
      </c>
      <c r="X29" s="411">
        <f>+T29*0.15</f>
        <v>70200</v>
      </c>
      <c r="Y29" s="411">
        <f>J29-R29</f>
        <v>210000</v>
      </c>
      <c r="Z29" s="411">
        <f>Q29-T29</f>
        <v>252000</v>
      </c>
      <c r="AA29" s="454" t="s">
        <v>794</v>
      </c>
      <c r="AB29" s="455" t="s">
        <v>836</v>
      </c>
      <c r="AC29" s="456" t="s">
        <v>840</v>
      </c>
      <c r="AD29" s="451" t="s">
        <v>903</v>
      </c>
      <c r="AE29" s="451" t="s">
        <v>904</v>
      </c>
      <c r="AF29" s="457" t="s">
        <v>38</v>
      </c>
      <c r="AG29" s="451">
        <v>17</v>
      </c>
      <c r="AH29" s="451">
        <v>71100</v>
      </c>
      <c r="AI29" s="455" t="s">
        <v>44</v>
      </c>
      <c r="AJ29" s="458" t="s">
        <v>805</v>
      </c>
      <c r="AK29" s="452">
        <v>78</v>
      </c>
      <c r="AL29" s="452"/>
      <c r="AM29" s="459"/>
      <c r="AN29" s="452"/>
      <c r="AO29" s="452"/>
      <c r="AP29" s="452"/>
      <c r="AQ29" s="452"/>
      <c r="AR29" s="452"/>
      <c r="AS29" s="460"/>
      <c r="AT29" s="460"/>
      <c r="AU29" s="461"/>
      <c r="AV29" s="830"/>
      <c r="AW29" s="830"/>
      <c r="AX29" s="832"/>
      <c r="AY29" s="534"/>
      <c r="AZ29" s="534"/>
      <c r="BA29" s="534"/>
      <c r="BB29" s="534"/>
      <c r="BC29" s="480"/>
      <c r="BD29" s="534"/>
      <c r="BE29" s="534"/>
      <c r="BF29" s="534"/>
      <c r="BG29" s="833"/>
      <c r="BH29" s="534"/>
      <c r="BI29" s="411">
        <f>T29*0.3</f>
        <v>140400</v>
      </c>
      <c r="BJ29" s="411">
        <f>W29*0.3</f>
        <v>119340</v>
      </c>
      <c r="BK29" s="419"/>
      <c r="BL29" s="411">
        <f>X29*0.3</f>
        <v>21060</v>
      </c>
      <c r="BM29" s="419"/>
      <c r="BN29" s="411"/>
      <c r="BO29" s="411"/>
      <c r="BP29" s="411"/>
      <c r="BQ29" s="488"/>
      <c r="BR29" s="835"/>
      <c r="BS29" s="489"/>
      <c r="BT29" s="498"/>
      <c r="BU29" s="841"/>
      <c r="BV29" s="505"/>
      <c r="BW29" s="703"/>
      <c r="BX29" s="881"/>
      <c r="BY29" s="508"/>
      <c r="BZ29" s="411">
        <f>AM29*0.3</f>
        <v>0</v>
      </c>
      <c r="CA29" s="411"/>
      <c r="CB29" s="411">
        <f aca="true" t="shared" si="83" ref="CB29:CC32">AP29*0.3</f>
        <v>0</v>
      </c>
      <c r="CC29" s="411">
        <f t="shared" si="83"/>
        <v>0</v>
      </c>
      <c r="CD29" s="411"/>
      <c r="CE29" s="411"/>
      <c r="CF29" s="411"/>
      <c r="CG29" s="488"/>
      <c r="CH29" s="835"/>
      <c r="CI29" s="583"/>
      <c r="CJ29" s="844"/>
      <c r="CK29" s="876"/>
      <c r="CL29" s="701"/>
      <c r="CM29" s="701"/>
      <c r="CN29" s="701"/>
      <c r="CO29" s="701"/>
      <c r="CP29" s="701"/>
      <c r="CQ29" s="701"/>
      <c r="CR29" s="701"/>
      <c r="CS29" s="701"/>
      <c r="CT29" s="488"/>
      <c r="CU29" s="835"/>
      <c r="CV29" s="845"/>
      <c r="CW29" s="835"/>
      <c r="CX29" s="864"/>
      <c r="CY29" s="701"/>
      <c r="CZ29" s="701"/>
      <c r="DA29" s="701"/>
      <c r="DB29" s="701"/>
      <c r="DC29" s="701"/>
      <c r="DD29" s="701"/>
      <c r="DE29" s="701"/>
      <c r="DF29" s="701"/>
      <c r="DG29" s="488"/>
      <c r="DH29" s="835"/>
      <c r="DI29" s="845"/>
      <c r="DJ29" s="835"/>
      <c r="DK29" s="864"/>
      <c r="DL29" s="701"/>
      <c r="DM29" s="701"/>
      <c r="DN29" s="701"/>
      <c r="DO29" s="701"/>
      <c r="DP29" s="701"/>
      <c r="DQ29" s="701"/>
      <c r="DR29" s="701"/>
      <c r="DS29" s="701"/>
      <c r="DT29" s="488"/>
      <c r="DU29" s="835"/>
      <c r="DV29" s="845"/>
      <c r="DW29" s="835"/>
      <c r="DX29" s="869"/>
      <c r="DY29" s="701"/>
      <c r="DZ29" s="701"/>
      <c r="EA29" s="701"/>
      <c r="EB29" s="701"/>
      <c r="EC29" s="701"/>
      <c r="ED29" s="701"/>
      <c r="EE29" s="701"/>
      <c r="EF29" s="701"/>
      <c r="EG29" s="488"/>
      <c r="EH29" s="835"/>
      <c r="EI29" s="845"/>
      <c r="EJ29" s="835"/>
      <c r="EK29" s="864"/>
      <c r="EL29" s="701"/>
      <c r="EM29" s="701"/>
      <c r="EN29" s="701"/>
      <c r="EO29" s="701"/>
      <c r="EP29" s="701"/>
      <c r="EQ29" s="701"/>
      <c r="ER29" s="701"/>
      <c r="ES29" s="701"/>
      <c r="ET29" s="488"/>
      <c r="EU29" s="835"/>
      <c r="EV29" s="845"/>
      <c r="EW29" s="835"/>
      <c r="EX29" s="876"/>
      <c r="EY29" s="701"/>
      <c r="EZ29" s="701"/>
      <c r="FA29" s="701"/>
      <c r="FB29" s="701"/>
      <c r="FC29" s="701"/>
      <c r="FD29" s="701"/>
      <c r="FE29" s="701"/>
      <c r="FF29" s="701"/>
      <c r="FG29" s="701"/>
      <c r="FH29" s="701"/>
      <c r="FI29" s="701"/>
      <c r="FJ29" s="701"/>
      <c r="FK29" s="876"/>
      <c r="FL29" s="701"/>
      <c r="FM29" s="701"/>
      <c r="FN29" s="701"/>
      <c r="FO29" s="701"/>
      <c r="FP29" s="701"/>
      <c r="FQ29" s="701"/>
      <c r="FR29" s="701"/>
      <c r="FS29" s="701"/>
      <c r="FT29" s="701"/>
      <c r="FU29" s="701"/>
      <c r="FV29" s="701"/>
      <c r="FW29" s="701"/>
      <c r="FX29" s="876"/>
      <c r="FY29" s="701"/>
      <c r="FZ29" s="701"/>
      <c r="GA29" s="701"/>
      <c r="GB29" s="701"/>
      <c r="GC29" s="701"/>
      <c r="GD29" s="701"/>
      <c r="GE29" s="701"/>
      <c r="GF29" s="701"/>
      <c r="GG29" s="701"/>
      <c r="GH29" s="701"/>
      <c r="GI29" s="701"/>
      <c r="GJ29" s="701"/>
      <c r="GK29" s="876"/>
      <c r="GL29" s="876"/>
      <c r="GM29" s="876"/>
      <c r="GN29" s="876"/>
      <c r="GO29" s="876"/>
      <c r="GP29" s="876"/>
      <c r="GQ29" s="876"/>
      <c r="GR29" s="876"/>
      <c r="GS29" s="876"/>
      <c r="GT29" s="876"/>
      <c r="GU29" s="876"/>
      <c r="GV29" s="876"/>
      <c r="GW29" s="876"/>
      <c r="GX29" s="876"/>
      <c r="GY29" s="901"/>
      <c r="GZ29" s="886"/>
      <c r="HA29" s="725"/>
      <c r="HB29" s="851"/>
      <c r="HC29" s="852"/>
      <c r="HD29" s="699"/>
      <c r="HE29" s="699"/>
      <c r="HF29" s="545"/>
      <c r="HG29" s="852"/>
      <c r="HH29" s="699"/>
      <c r="HI29" s="480"/>
      <c r="HJ29" s="545"/>
      <c r="HK29" s="545"/>
      <c r="HL29" s="545"/>
      <c r="HM29" s="545"/>
      <c r="HN29" s="545"/>
    </row>
    <row r="30" spans="1:222" s="462" customFormat="1" ht="11.25">
      <c r="A30" s="451"/>
      <c r="B30" s="452" t="e">
        <f>IF(#REF!&gt;0,"si","no")</f>
        <v>#REF!</v>
      </c>
      <c r="C30" s="451">
        <v>19</v>
      </c>
      <c r="D30" s="524" t="s">
        <v>39</v>
      </c>
      <c r="E30" s="524" t="s">
        <v>897</v>
      </c>
      <c r="F30" s="524"/>
      <c r="G30" s="524"/>
      <c r="H30" s="825"/>
      <c r="I30" s="531"/>
      <c r="J30" s="444">
        <v>1657890</v>
      </c>
      <c r="K30" s="451">
        <v>65</v>
      </c>
      <c r="L30" s="453" t="str">
        <f>IF(K30&gt;51,"è","non è")</f>
        <v>è</v>
      </c>
      <c r="M30" s="453" t="s">
        <v>793</v>
      </c>
      <c r="N30" s="444"/>
      <c r="O30" s="444">
        <f>+J30-N30</f>
        <v>1657890</v>
      </c>
      <c r="P30" s="444">
        <f>+O30*0.2</f>
        <v>331578</v>
      </c>
      <c r="Q30" s="411">
        <f>J30+P30</f>
        <v>1989468</v>
      </c>
      <c r="R30" s="444">
        <f>IF(J30*K30/100&gt;2500000,2500000,J30*K30/100)</f>
        <v>1077628.5</v>
      </c>
      <c r="S30" s="444">
        <f>+P30*K30/100</f>
        <v>215525.7</v>
      </c>
      <c r="T30" s="444">
        <f>IF(R30+S30&gt;2500000,2500000,R30+S30)</f>
        <v>1293154.2</v>
      </c>
      <c r="U30" s="411">
        <f>T30*0.5</f>
        <v>646577.1</v>
      </c>
      <c r="V30" s="411">
        <f>T30*0.35</f>
        <v>452603.97</v>
      </c>
      <c r="W30" s="444">
        <f>+T30*0.85</f>
        <v>1099181.0699999998</v>
      </c>
      <c r="X30" s="444">
        <f>+T30*0.15</f>
        <v>193973.12999999998</v>
      </c>
      <c r="Y30" s="411">
        <f>J30-R30</f>
        <v>580261.5</v>
      </c>
      <c r="Z30" s="411">
        <f>Q30-T30</f>
        <v>696313.8</v>
      </c>
      <c r="AA30" s="454" t="s">
        <v>794</v>
      </c>
      <c r="AB30" s="455" t="s">
        <v>895</v>
      </c>
      <c r="AC30" s="455" t="s">
        <v>898</v>
      </c>
      <c r="AD30" s="451" t="s">
        <v>903</v>
      </c>
      <c r="AE30" s="451" t="s">
        <v>904</v>
      </c>
      <c r="AF30" s="457" t="s">
        <v>41</v>
      </c>
      <c r="AG30" s="451">
        <v>42</v>
      </c>
      <c r="AH30" s="451">
        <v>71100</v>
      </c>
      <c r="AI30" s="455" t="s">
        <v>42</v>
      </c>
      <c r="AJ30" s="458" t="s">
        <v>805</v>
      </c>
      <c r="AK30" s="451">
        <v>56</v>
      </c>
      <c r="AL30" s="451"/>
      <c r="AM30" s="464"/>
      <c r="AN30" s="464"/>
      <c r="AO30" s="452"/>
      <c r="AP30" s="452"/>
      <c r="AQ30" s="451"/>
      <c r="AR30" s="451"/>
      <c r="AS30" s="457"/>
      <c r="AT30" s="457"/>
      <c r="AU30" s="461"/>
      <c r="AV30" s="830"/>
      <c r="AW30" s="830"/>
      <c r="AX30" s="832"/>
      <c r="AY30" s="534"/>
      <c r="AZ30" s="534"/>
      <c r="BA30" s="534"/>
      <c r="BB30" s="534"/>
      <c r="BC30" s="480"/>
      <c r="BD30" s="534"/>
      <c r="BE30" s="534"/>
      <c r="BF30" s="534"/>
      <c r="BG30" s="833"/>
      <c r="BH30" s="534"/>
      <c r="BI30" s="411">
        <f>T30*0.3</f>
        <v>387946.25999999995</v>
      </c>
      <c r="BJ30" s="411">
        <f>W30*0.3</f>
        <v>329754.32099999994</v>
      </c>
      <c r="BK30" s="419"/>
      <c r="BL30" s="411">
        <f>X30*0.3</f>
        <v>58191.93899999999</v>
      </c>
      <c r="BM30" s="419"/>
      <c r="BN30" s="411"/>
      <c r="BO30" s="411"/>
      <c r="BP30" s="411"/>
      <c r="BQ30" s="488"/>
      <c r="BR30" s="835"/>
      <c r="BS30" s="489"/>
      <c r="BT30" s="498"/>
      <c r="BU30" s="841"/>
      <c r="BV30" s="505"/>
      <c r="BW30" s="703"/>
      <c r="BX30" s="881"/>
      <c r="BY30" s="508"/>
      <c r="BZ30" s="411">
        <f>AM30*0.3</f>
        <v>0</v>
      </c>
      <c r="CA30" s="411"/>
      <c r="CB30" s="411">
        <f t="shared" si="83"/>
        <v>0</v>
      </c>
      <c r="CC30" s="411">
        <f t="shared" si="83"/>
        <v>0</v>
      </c>
      <c r="CD30" s="411"/>
      <c r="CE30" s="411"/>
      <c r="CF30" s="411"/>
      <c r="CG30" s="488"/>
      <c r="CH30" s="835"/>
      <c r="CI30" s="583"/>
      <c r="CJ30" s="844"/>
      <c r="CK30" s="876"/>
      <c r="CL30" s="701"/>
      <c r="CM30" s="701"/>
      <c r="CN30" s="701"/>
      <c r="CO30" s="701"/>
      <c r="CP30" s="701"/>
      <c r="CQ30" s="701"/>
      <c r="CR30" s="701"/>
      <c r="CS30" s="701"/>
      <c r="CT30" s="488"/>
      <c r="CU30" s="835"/>
      <c r="CV30" s="845"/>
      <c r="CW30" s="835"/>
      <c r="CX30" s="864"/>
      <c r="CY30" s="701"/>
      <c r="CZ30" s="701"/>
      <c r="DA30" s="701"/>
      <c r="DB30" s="701"/>
      <c r="DC30" s="701"/>
      <c r="DD30" s="701"/>
      <c r="DE30" s="701"/>
      <c r="DF30" s="701"/>
      <c r="DG30" s="488"/>
      <c r="DH30" s="835"/>
      <c r="DI30" s="845"/>
      <c r="DJ30" s="835"/>
      <c r="DK30" s="864"/>
      <c r="DL30" s="701"/>
      <c r="DM30" s="701"/>
      <c r="DN30" s="701"/>
      <c r="DO30" s="701"/>
      <c r="DP30" s="701"/>
      <c r="DQ30" s="701"/>
      <c r="DR30" s="701"/>
      <c r="DS30" s="701"/>
      <c r="DT30" s="488"/>
      <c r="DU30" s="835"/>
      <c r="DV30" s="845"/>
      <c r="DW30" s="835"/>
      <c r="DX30" s="869"/>
      <c r="DY30" s="701"/>
      <c r="DZ30" s="701"/>
      <c r="EA30" s="701"/>
      <c r="EB30" s="701"/>
      <c r="EC30" s="701"/>
      <c r="ED30" s="701"/>
      <c r="EE30" s="701"/>
      <c r="EF30" s="701"/>
      <c r="EG30" s="488"/>
      <c r="EH30" s="835"/>
      <c r="EI30" s="845"/>
      <c r="EJ30" s="835"/>
      <c r="EK30" s="864"/>
      <c r="EL30" s="701"/>
      <c r="EM30" s="701"/>
      <c r="EN30" s="701"/>
      <c r="EO30" s="701"/>
      <c r="EP30" s="701"/>
      <c r="EQ30" s="701"/>
      <c r="ER30" s="701"/>
      <c r="ES30" s="701"/>
      <c r="ET30" s="488"/>
      <c r="EU30" s="835"/>
      <c r="EV30" s="845"/>
      <c r="EW30" s="835"/>
      <c r="EX30" s="876"/>
      <c r="EY30" s="701"/>
      <c r="EZ30" s="701"/>
      <c r="FA30" s="701"/>
      <c r="FB30" s="701"/>
      <c r="FC30" s="701"/>
      <c r="FD30" s="701"/>
      <c r="FE30" s="701"/>
      <c r="FF30" s="701"/>
      <c r="FG30" s="701"/>
      <c r="FH30" s="701"/>
      <c r="FI30" s="701"/>
      <c r="FJ30" s="701"/>
      <c r="FK30" s="876"/>
      <c r="FL30" s="701"/>
      <c r="FM30" s="701"/>
      <c r="FN30" s="701"/>
      <c r="FO30" s="701"/>
      <c r="FP30" s="701"/>
      <c r="FQ30" s="701"/>
      <c r="FR30" s="701"/>
      <c r="FS30" s="701"/>
      <c r="FT30" s="701"/>
      <c r="FU30" s="701"/>
      <c r="FV30" s="701"/>
      <c r="FW30" s="701"/>
      <c r="FX30" s="876"/>
      <c r="FY30" s="701"/>
      <c r="FZ30" s="701"/>
      <c r="GA30" s="701"/>
      <c r="GB30" s="701"/>
      <c r="GC30" s="701"/>
      <c r="GD30" s="701"/>
      <c r="GE30" s="701"/>
      <c r="GF30" s="701"/>
      <c r="GG30" s="701"/>
      <c r="GH30" s="701"/>
      <c r="GI30" s="701"/>
      <c r="GJ30" s="701"/>
      <c r="GK30" s="876"/>
      <c r="GL30" s="876"/>
      <c r="GM30" s="876"/>
      <c r="GN30" s="876"/>
      <c r="GO30" s="876"/>
      <c r="GP30" s="876"/>
      <c r="GQ30" s="876"/>
      <c r="GR30" s="876"/>
      <c r="GS30" s="876"/>
      <c r="GT30" s="876"/>
      <c r="GU30" s="876"/>
      <c r="GV30" s="876"/>
      <c r="GW30" s="876"/>
      <c r="GX30" s="876"/>
      <c r="GY30" s="902"/>
      <c r="GZ30" s="890"/>
      <c r="HA30" s="701"/>
      <c r="HB30" s="851"/>
      <c r="HC30" s="852"/>
      <c r="HD30" s="699"/>
      <c r="HE30" s="699"/>
      <c r="HF30" s="545"/>
      <c r="HG30" s="852"/>
      <c r="HH30" s="699"/>
      <c r="HI30" s="480"/>
      <c r="HJ30" s="545"/>
      <c r="HK30" s="545"/>
      <c r="HL30" s="545"/>
      <c r="HM30" s="545"/>
      <c r="HN30" s="545"/>
    </row>
    <row r="31" spans="1:222" s="462" customFormat="1" ht="12.75" customHeight="1">
      <c r="A31" s="451"/>
      <c r="B31" s="452" t="e">
        <f>IF(#REF!&gt;0,"si","no")</f>
        <v>#REF!</v>
      </c>
      <c r="C31" s="451">
        <v>24</v>
      </c>
      <c r="D31" s="524" t="s">
        <v>905</v>
      </c>
      <c r="E31" s="524"/>
      <c r="F31" s="524"/>
      <c r="G31" s="524"/>
      <c r="H31" s="825"/>
      <c r="I31" s="531"/>
      <c r="J31" s="444">
        <v>1980000</v>
      </c>
      <c r="K31" s="451">
        <v>50</v>
      </c>
      <c r="L31" s="453" t="str">
        <f>IF(K31&gt;51,"è","non è")</f>
        <v>non è</v>
      </c>
      <c r="M31" s="453" t="s">
        <v>809</v>
      </c>
      <c r="N31" s="444">
        <v>1370000</v>
      </c>
      <c r="O31" s="444">
        <f>+J31-N31</f>
        <v>610000</v>
      </c>
      <c r="P31" s="444">
        <f>+O31*0.2</f>
        <v>122000</v>
      </c>
      <c r="Q31" s="411">
        <f>J31+P31</f>
        <v>2102000</v>
      </c>
      <c r="R31" s="444">
        <f>IF(J31*K31/100&gt;2500000,2500000,J31*K31/100)</f>
        <v>990000</v>
      </c>
      <c r="S31" s="444">
        <f>+P31*K31/100</f>
        <v>61000</v>
      </c>
      <c r="T31" s="444">
        <f>IF(R31+S31&gt;2500000,2500000,R31+S31)</f>
        <v>1051000</v>
      </c>
      <c r="U31" s="411">
        <f>T31*0.5</f>
        <v>525500</v>
      </c>
      <c r="V31" s="411">
        <f>T31*0.35</f>
        <v>367850</v>
      </c>
      <c r="W31" s="444">
        <f>+T31*0.85</f>
        <v>893350</v>
      </c>
      <c r="X31" s="444">
        <f>+T31*0.15</f>
        <v>157650</v>
      </c>
      <c r="Y31" s="411">
        <f>J31-R31</f>
        <v>990000</v>
      </c>
      <c r="Z31" s="411">
        <f>Q31-T31</f>
        <v>1051000</v>
      </c>
      <c r="AA31" s="454" t="s">
        <v>794</v>
      </c>
      <c r="AB31" s="455" t="s">
        <v>895</v>
      </c>
      <c r="AC31" s="455">
        <v>1705</v>
      </c>
      <c r="AD31" s="451" t="s">
        <v>805</v>
      </c>
      <c r="AE31" s="451" t="s">
        <v>805</v>
      </c>
      <c r="AF31" s="457" t="s">
        <v>805</v>
      </c>
      <c r="AG31" s="451" t="s">
        <v>805</v>
      </c>
      <c r="AH31" s="451" t="s">
        <v>805</v>
      </c>
      <c r="AI31" s="451" t="s">
        <v>805</v>
      </c>
      <c r="AJ31" s="458" t="s">
        <v>805</v>
      </c>
      <c r="AK31" s="451">
        <v>54</v>
      </c>
      <c r="AL31" s="451"/>
      <c r="AM31" s="464"/>
      <c r="AN31" s="464"/>
      <c r="AO31" s="452"/>
      <c r="AP31" s="452"/>
      <c r="AQ31" s="451"/>
      <c r="AR31" s="451"/>
      <c r="AS31" s="457"/>
      <c r="AT31" s="457"/>
      <c r="AU31" s="461"/>
      <c r="AV31" s="830"/>
      <c r="AW31" s="830"/>
      <c r="AX31" s="832"/>
      <c r="AY31" s="534"/>
      <c r="AZ31" s="534"/>
      <c r="BA31" s="534"/>
      <c r="BB31" s="534"/>
      <c r="BC31" s="480"/>
      <c r="BD31" s="534"/>
      <c r="BE31" s="534"/>
      <c r="BF31" s="534"/>
      <c r="BG31" s="833"/>
      <c r="BH31" s="534"/>
      <c r="BI31" s="411">
        <f>T31*0.3</f>
        <v>315300</v>
      </c>
      <c r="BJ31" s="411">
        <f>W31*0.3</f>
        <v>268005</v>
      </c>
      <c r="BK31" s="419"/>
      <c r="BL31" s="411">
        <f>X31*0.3</f>
        <v>47295</v>
      </c>
      <c r="BM31" s="419"/>
      <c r="BN31" s="411"/>
      <c r="BO31" s="411"/>
      <c r="BP31" s="411"/>
      <c r="BQ31" s="488"/>
      <c r="BR31" s="835"/>
      <c r="BS31" s="489"/>
      <c r="BT31" s="498"/>
      <c r="BU31" s="841"/>
      <c r="BV31" s="505"/>
      <c r="BW31" s="703"/>
      <c r="BX31" s="881"/>
      <c r="BY31" s="508"/>
      <c r="BZ31" s="411">
        <f>AM31*0.3</f>
        <v>0</v>
      </c>
      <c r="CA31" s="411"/>
      <c r="CB31" s="411">
        <f t="shared" si="83"/>
        <v>0</v>
      </c>
      <c r="CC31" s="411">
        <f t="shared" si="83"/>
        <v>0</v>
      </c>
      <c r="CD31" s="411"/>
      <c r="CE31" s="411"/>
      <c r="CF31" s="411"/>
      <c r="CG31" s="488"/>
      <c r="CH31" s="835"/>
      <c r="CI31" s="583"/>
      <c r="CJ31" s="844"/>
      <c r="CK31" s="876"/>
      <c r="CL31" s="701"/>
      <c r="CM31" s="701"/>
      <c r="CN31" s="701"/>
      <c r="CO31" s="701"/>
      <c r="CP31" s="701"/>
      <c r="CQ31" s="701"/>
      <c r="CR31" s="701"/>
      <c r="CS31" s="701"/>
      <c r="CT31" s="488"/>
      <c r="CU31" s="835"/>
      <c r="CV31" s="845"/>
      <c r="CW31" s="835"/>
      <c r="CX31" s="864"/>
      <c r="CY31" s="701"/>
      <c r="CZ31" s="701"/>
      <c r="DA31" s="701"/>
      <c r="DB31" s="701"/>
      <c r="DC31" s="701"/>
      <c r="DD31" s="701"/>
      <c r="DE31" s="701"/>
      <c r="DF31" s="701"/>
      <c r="DG31" s="488"/>
      <c r="DH31" s="835"/>
      <c r="DI31" s="845"/>
      <c r="DJ31" s="835"/>
      <c r="DK31" s="864"/>
      <c r="DL31" s="701"/>
      <c r="DM31" s="701"/>
      <c r="DN31" s="701"/>
      <c r="DO31" s="701"/>
      <c r="DP31" s="701"/>
      <c r="DQ31" s="701"/>
      <c r="DR31" s="701"/>
      <c r="DS31" s="701"/>
      <c r="DT31" s="488"/>
      <c r="DU31" s="835"/>
      <c r="DV31" s="845"/>
      <c r="DW31" s="835"/>
      <c r="DX31" s="869"/>
      <c r="DY31" s="701"/>
      <c r="DZ31" s="701"/>
      <c r="EA31" s="701"/>
      <c r="EB31" s="701"/>
      <c r="EC31" s="701"/>
      <c r="ED31" s="701"/>
      <c r="EE31" s="701"/>
      <c r="EF31" s="701"/>
      <c r="EG31" s="488"/>
      <c r="EH31" s="835"/>
      <c r="EI31" s="845"/>
      <c r="EJ31" s="835"/>
      <c r="EK31" s="864"/>
      <c r="EL31" s="701"/>
      <c r="EM31" s="701"/>
      <c r="EN31" s="701"/>
      <c r="EO31" s="701"/>
      <c r="EP31" s="701"/>
      <c r="EQ31" s="701"/>
      <c r="ER31" s="701"/>
      <c r="ES31" s="701"/>
      <c r="ET31" s="488"/>
      <c r="EU31" s="835"/>
      <c r="EV31" s="845"/>
      <c r="EW31" s="835"/>
      <c r="EX31" s="876"/>
      <c r="EY31" s="701"/>
      <c r="EZ31" s="701"/>
      <c r="FA31" s="701"/>
      <c r="FB31" s="701"/>
      <c r="FC31" s="701"/>
      <c r="FD31" s="701"/>
      <c r="FE31" s="701"/>
      <c r="FF31" s="701"/>
      <c r="FG31" s="701"/>
      <c r="FH31" s="701"/>
      <c r="FI31" s="701"/>
      <c r="FJ31" s="701"/>
      <c r="FK31" s="876"/>
      <c r="FL31" s="701"/>
      <c r="FM31" s="701"/>
      <c r="FN31" s="701"/>
      <c r="FO31" s="701"/>
      <c r="FP31" s="701"/>
      <c r="FQ31" s="701"/>
      <c r="FR31" s="701"/>
      <c r="FS31" s="701"/>
      <c r="FT31" s="701"/>
      <c r="FU31" s="701"/>
      <c r="FV31" s="701"/>
      <c r="FW31" s="701"/>
      <c r="FX31" s="876"/>
      <c r="FY31" s="701"/>
      <c r="FZ31" s="701"/>
      <c r="GA31" s="701"/>
      <c r="GB31" s="701"/>
      <c r="GC31" s="701"/>
      <c r="GD31" s="701"/>
      <c r="GE31" s="701"/>
      <c r="GF31" s="701"/>
      <c r="GG31" s="701"/>
      <c r="GH31" s="701"/>
      <c r="GI31" s="701"/>
      <c r="GJ31" s="701"/>
      <c r="GK31" s="876"/>
      <c r="GL31" s="876"/>
      <c r="GM31" s="876"/>
      <c r="GN31" s="876"/>
      <c r="GO31" s="876"/>
      <c r="GP31" s="876"/>
      <c r="GQ31" s="876"/>
      <c r="GR31" s="876"/>
      <c r="GS31" s="876"/>
      <c r="GT31" s="876"/>
      <c r="GU31" s="876"/>
      <c r="GV31" s="876"/>
      <c r="GW31" s="876"/>
      <c r="GX31" s="876"/>
      <c r="GY31" s="902"/>
      <c r="GZ31" s="890"/>
      <c r="HA31" s="701"/>
      <c r="HB31" s="851"/>
      <c r="HC31" s="852"/>
      <c r="HD31" s="699"/>
      <c r="HE31" s="699"/>
      <c r="HF31" s="545"/>
      <c r="HG31" s="852"/>
      <c r="HH31" s="699"/>
      <c r="HI31" s="480"/>
      <c r="HJ31" s="545"/>
      <c r="HK31" s="545"/>
      <c r="HL31" s="545"/>
      <c r="HM31" s="545"/>
      <c r="HN31" s="545"/>
    </row>
    <row r="32" spans="1:222" s="462" customFormat="1" ht="12.75" customHeight="1">
      <c r="A32" s="451"/>
      <c r="B32" s="452" t="e">
        <f>IF(#REF!&gt;0,"si","no")</f>
        <v>#REF!</v>
      </c>
      <c r="C32" s="451">
        <v>35</v>
      </c>
      <c r="D32" s="524" t="s">
        <v>917</v>
      </c>
      <c r="E32" s="524" t="s">
        <v>137</v>
      </c>
      <c r="F32" s="524"/>
      <c r="G32" s="524"/>
      <c r="H32" s="825"/>
      <c r="I32" s="531"/>
      <c r="J32" s="444">
        <v>4979497</v>
      </c>
      <c r="K32" s="451">
        <v>65</v>
      </c>
      <c r="L32" s="453" t="str">
        <f>IF(K32&gt;51,"è","non è")</f>
        <v>è</v>
      </c>
      <c r="M32" s="453" t="s">
        <v>793</v>
      </c>
      <c r="N32" s="444">
        <v>2484900</v>
      </c>
      <c r="O32" s="444">
        <f>+J32-N32</f>
        <v>2494597</v>
      </c>
      <c r="P32" s="444">
        <f>+O32*0.2</f>
        <v>498919.4</v>
      </c>
      <c r="Q32" s="411">
        <f>J32+P32</f>
        <v>5478416.4</v>
      </c>
      <c r="R32" s="444">
        <f>IF(J32*K32/100&gt;2500000,2500000,J32*K32/100)</f>
        <v>2500000</v>
      </c>
      <c r="S32" s="444">
        <f>+P32*K32/100</f>
        <v>324297.61</v>
      </c>
      <c r="T32" s="444">
        <f>IF(R32+S32&gt;2500000,2500000,R32+S32)</f>
        <v>2500000</v>
      </c>
      <c r="U32" s="411">
        <f>T32*0.5</f>
        <v>1250000</v>
      </c>
      <c r="V32" s="411">
        <f>T32*0.35</f>
        <v>875000</v>
      </c>
      <c r="W32" s="444">
        <f>+T32*0.85</f>
        <v>2125000</v>
      </c>
      <c r="X32" s="444">
        <f>+T32*0.15</f>
        <v>375000</v>
      </c>
      <c r="Y32" s="411">
        <f>J32-R32</f>
        <v>2479497</v>
      </c>
      <c r="Z32" s="411">
        <f>Q32-T32</f>
        <v>2978416.4000000004</v>
      </c>
      <c r="AA32" s="464" t="s">
        <v>805</v>
      </c>
      <c r="AB32" s="455" t="s">
        <v>895</v>
      </c>
      <c r="AC32" s="455" t="s">
        <v>918</v>
      </c>
      <c r="AD32" s="451" t="s">
        <v>805</v>
      </c>
      <c r="AE32" s="451" t="s">
        <v>805</v>
      </c>
      <c r="AF32" s="457" t="s">
        <v>805</v>
      </c>
      <c r="AG32" s="451" t="s">
        <v>805</v>
      </c>
      <c r="AH32" s="451" t="s">
        <v>805</v>
      </c>
      <c r="AI32" s="451" t="s">
        <v>805</v>
      </c>
      <c r="AJ32" s="458" t="s">
        <v>805</v>
      </c>
      <c r="AK32" s="451">
        <v>51</v>
      </c>
      <c r="AL32" s="451"/>
      <c r="AM32" s="464"/>
      <c r="AN32" s="464"/>
      <c r="AO32" s="452"/>
      <c r="AP32" s="452"/>
      <c r="AQ32" s="451"/>
      <c r="AR32" s="451"/>
      <c r="AS32" s="457"/>
      <c r="AT32" s="457"/>
      <c r="AU32" s="461"/>
      <c r="AV32" s="830"/>
      <c r="AW32" s="830"/>
      <c r="AX32" s="832"/>
      <c r="AY32" s="534"/>
      <c r="AZ32" s="534"/>
      <c r="BA32" s="534"/>
      <c r="BB32" s="534"/>
      <c r="BC32" s="480"/>
      <c r="BD32" s="534"/>
      <c r="BE32" s="534"/>
      <c r="BF32" s="534"/>
      <c r="BG32" s="833"/>
      <c r="BH32" s="534"/>
      <c r="BI32" s="411">
        <f>T32*0.3</f>
        <v>750000</v>
      </c>
      <c r="BJ32" s="411">
        <f>W32*0.3</f>
        <v>637500</v>
      </c>
      <c r="BK32" s="419"/>
      <c r="BL32" s="411">
        <f>X32*0.3</f>
        <v>112500</v>
      </c>
      <c r="BM32" s="419"/>
      <c r="BN32" s="411"/>
      <c r="BO32" s="411"/>
      <c r="BP32" s="411"/>
      <c r="BQ32" s="488"/>
      <c r="BR32" s="835"/>
      <c r="BS32" s="489"/>
      <c r="BT32" s="498"/>
      <c r="BU32" s="841"/>
      <c r="BV32" s="505"/>
      <c r="BW32" s="703"/>
      <c r="BX32" s="881"/>
      <c r="BY32" s="508"/>
      <c r="BZ32" s="411">
        <f>AM32*0.3</f>
        <v>0</v>
      </c>
      <c r="CA32" s="411"/>
      <c r="CB32" s="411">
        <f t="shared" si="83"/>
        <v>0</v>
      </c>
      <c r="CC32" s="411">
        <f t="shared" si="83"/>
        <v>0</v>
      </c>
      <c r="CD32" s="411"/>
      <c r="CE32" s="411"/>
      <c r="CF32" s="411"/>
      <c r="CG32" s="488"/>
      <c r="CH32" s="835"/>
      <c r="CI32" s="583"/>
      <c r="CJ32" s="844"/>
      <c r="CK32" s="876"/>
      <c r="CL32" s="701"/>
      <c r="CM32" s="701"/>
      <c r="CN32" s="701"/>
      <c r="CO32" s="701"/>
      <c r="CP32" s="701"/>
      <c r="CQ32" s="701"/>
      <c r="CR32" s="701"/>
      <c r="CS32" s="701"/>
      <c r="CT32" s="488"/>
      <c r="CU32" s="835"/>
      <c r="CV32" s="845"/>
      <c r="CW32" s="835"/>
      <c r="CX32" s="864"/>
      <c r="CY32" s="701"/>
      <c r="CZ32" s="701"/>
      <c r="DA32" s="701"/>
      <c r="DB32" s="701"/>
      <c r="DC32" s="701"/>
      <c r="DD32" s="701"/>
      <c r="DE32" s="701"/>
      <c r="DF32" s="701"/>
      <c r="DG32" s="488"/>
      <c r="DH32" s="835"/>
      <c r="DI32" s="845"/>
      <c r="DJ32" s="835"/>
      <c r="DK32" s="864"/>
      <c r="DL32" s="701"/>
      <c r="DM32" s="701"/>
      <c r="DN32" s="701"/>
      <c r="DO32" s="701"/>
      <c r="DP32" s="701"/>
      <c r="DQ32" s="701"/>
      <c r="DR32" s="701"/>
      <c r="DS32" s="701"/>
      <c r="DT32" s="488"/>
      <c r="DU32" s="835"/>
      <c r="DV32" s="845"/>
      <c r="DW32" s="835"/>
      <c r="DX32" s="869"/>
      <c r="DY32" s="701"/>
      <c r="DZ32" s="701"/>
      <c r="EA32" s="701"/>
      <c r="EB32" s="701"/>
      <c r="EC32" s="701"/>
      <c r="ED32" s="701"/>
      <c r="EE32" s="701"/>
      <c r="EF32" s="701"/>
      <c r="EG32" s="488"/>
      <c r="EH32" s="835"/>
      <c r="EI32" s="845"/>
      <c r="EJ32" s="835"/>
      <c r="EK32" s="864"/>
      <c r="EL32" s="701"/>
      <c r="EM32" s="701"/>
      <c r="EN32" s="701"/>
      <c r="EO32" s="701"/>
      <c r="EP32" s="701"/>
      <c r="EQ32" s="701"/>
      <c r="ER32" s="701"/>
      <c r="ES32" s="701"/>
      <c r="ET32" s="488"/>
      <c r="EU32" s="835"/>
      <c r="EV32" s="845"/>
      <c r="EW32" s="835"/>
      <c r="EX32" s="876"/>
      <c r="EY32" s="701"/>
      <c r="EZ32" s="701"/>
      <c r="FA32" s="701"/>
      <c r="FB32" s="701"/>
      <c r="FC32" s="701"/>
      <c r="FD32" s="701"/>
      <c r="FE32" s="701"/>
      <c r="FF32" s="701"/>
      <c r="FG32" s="701"/>
      <c r="FH32" s="701"/>
      <c r="FI32" s="701"/>
      <c r="FJ32" s="701"/>
      <c r="FK32" s="876"/>
      <c r="FL32" s="701"/>
      <c r="FM32" s="701"/>
      <c r="FN32" s="701"/>
      <c r="FO32" s="701"/>
      <c r="FP32" s="701"/>
      <c r="FQ32" s="701"/>
      <c r="FR32" s="701"/>
      <c r="FS32" s="701"/>
      <c r="FT32" s="701"/>
      <c r="FU32" s="701"/>
      <c r="FV32" s="701"/>
      <c r="FW32" s="701"/>
      <c r="FX32" s="876"/>
      <c r="FY32" s="701"/>
      <c r="FZ32" s="701"/>
      <c r="GA32" s="701"/>
      <c r="GB32" s="701"/>
      <c r="GC32" s="701"/>
      <c r="GD32" s="701"/>
      <c r="GE32" s="701"/>
      <c r="GF32" s="701"/>
      <c r="GG32" s="701"/>
      <c r="GH32" s="701"/>
      <c r="GI32" s="701"/>
      <c r="GJ32" s="701"/>
      <c r="GK32" s="876"/>
      <c r="GL32" s="876"/>
      <c r="GM32" s="876"/>
      <c r="GN32" s="876"/>
      <c r="GO32" s="876"/>
      <c r="GP32" s="876"/>
      <c r="GQ32" s="876"/>
      <c r="GR32" s="876"/>
      <c r="GS32" s="876"/>
      <c r="GT32" s="876"/>
      <c r="GU32" s="876"/>
      <c r="GV32" s="876"/>
      <c r="GW32" s="876"/>
      <c r="GX32" s="876"/>
      <c r="GY32" s="902"/>
      <c r="GZ32" s="890"/>
      <c r="HA32" s="701"/>
      <c r="HB32" s="851"/>
      <c r="HC32" s="852"/>
      <c r="HD32" s="699"/>
      <c r="HE32" s="699"/>
      <c r="HF32" s="545"/>
      <c r="HG32" s="852"/>
      <c r="HH32" s="699"/>
      <c r="HI32" s="480"/>
      <c r="HJ32" s="545"/>
      <c r="HK32" s="545"/>
      <c r="HL32" s="545"/>
      <c r="HM32" s="545"/>
      <c r="HN32" s="545"/>
    </row>
    <row r="33" spans="1:222" s="588" customFormat="1" ht="12" customHeight="1">
      <c r="A33" s="434"/>
      <c r="B33" s="452" t="e">
        <f>IF(#REF!&gt;0,"si","no")</f>
        <v>#REF!</v>
      </c>
      <c r="C33" s="451">
        <v>23</v>
      </c>
      <c r="D33" s="588" t="s">
        <v>843</v>
      </c>
      <c r="E33" s="588" t="s">
        <v>62</v>
      </c>
      <c r="F33" s="588" t="s">
        <v>480</v>
      </c>
      <c r="G33" s="588" t="s">
        <v>407</v>
      </c>
      <c r="H33" s="826" t="s">
        <v>1186</v>
      </c>
      <c r="I33" s="715" t="s">
        <v>1127</v>
      </c>
      <c r="J33" s="431">
        <v>421350</v>
      </c>
      <c r="K33" s="434">
        <v>65</v>
      </c>
      <c r="L33" s="453" t="str">
        <f>IF(K33&gt;51,"è","non è")</f>
        <v>è</v>
      </c>
      <c r="M33" s="453" t="s">
        <v>793</v>
      </c>
      <c r="N33" s="431">
        <v>133150</v>
      </c>
      <c r="O33" s="431">
        <f>+J33-N33</f>
        <v>288200</v>
      </c>
      <c r="P33" s="431">
        <f>+O33*0.2</f>
        <v>57640</v>
      </c>
      <c r="Q33" s="411">
        <f>J33+P33</f>
        <v>478990</v>
      </c>
      <c r="R33" s="431">
        <f>IF(J33*K33/100&gt;2500000,2500000,J33*K33/100)</f>
        <v>273877.5</v>
      </c>
      <c r="S33" s="431">
        <f>+P33*K33/100</f>
        <v>37466</v>
      </c>
      <c r="T33" s="431">
        <f>IF(R33+S33&gt;2500000,2500000,R33+S33)</f>
        <v>311343.5</v>
      </c>
      <c r="U33" s="411">
        <f>T33*0.5</f>
        <v>155671.75</v>
      </c>
      <c r="V33" s="411">
        <f>T33*0.35</f>
        <v>108970.22499999999</v>
      </c>
      <c r="W33" s="431">
        <f>+T33*0.85</f>
        <v>264641.975</v>
      </c>
      <c r="X33" s="431">
        <f>+T33*0.15</f>
        <v>46701.525</v>
      </c>
      <c r="Y33" s="411">
        <f>J33-R33</f>
        <v>147472.5</v>
      </c>
      <c r="Z33" s="411">
        <f>Q33-T33</f>
        <v>167646.5</v>
      </c>
      <c r="AA33" s="716" t="s">
        <v>844</v>
      </c>
      <c r="AB33" s="716" t="s">
        <v>795</v>
      </c>
      <c r="AC33" s="434">
        <v>398</v>
      </c>
      <c r="AD33" s="434" t="s">
        <v>845</v>
      </c>
      <c r="AE33" s="434" t="s">
        <v>798</v>
      </c>
      <c r="AF33" s="434" t="s">
        <v>63</v>
      </c>
      <c r="AG33" s="434">
        <v>40</v>
      </c>
      <c r="AH33" s="434">
        <v>70022</v>
      </c>
      <c r="AI33" s="717" t="s">
        <v>846</v>
      </c>
      <c r="AJ33" s="718" t="s">
        <v>35</v>
      </c>
      <c r="AK33" s="434">
        <v>77</v>
      </c>
      <c r="AL33" s="434">
        <v>250</v>
      </c>
      <c r="AM33" s="681">
        <v>38166</v>
      </c>
      <c r="AN33" s="681">
        <v>38191</v>
      </c>
      <c r="AO33" s="452" t="s">
        <v>7</v>
      </c>
      <c r="AP33" s="452">
        <v>1661</v>
      </c>
      <c r="AQ33" s="434">
        <v>23</v>
      </c>
      <c r="AR33" s="434">
        <v>19</v>
      </c>
      <c r="AS33" s="719" t="s">
        <v>171</v>
      </c>
      <c r="AT33" s="719" t="s">
        <v>171</v>
      </c>
      <c r="AU33" s="712" t="s">
        <v>295</v>
      </c>
      <c r="AV33" s="720">
        <v>38324</v>
      </c>
      <c r="AW33" s="720">
        <v>38294</v>
      </c>
      <c r="AX33" s="681">
        <v>38316</v>
      </c>
      <c r="AY33" s="588" t="s">
        <v>718</v>
      </c>
      <c r="AZ33" s="588" t="s">
        <v>719</v>
      </c>
      <c r="BA33" s="588" t="s">
        <v>720</v>
      </c>
      <c r="BB33" s="588" t="s">
        <v>721</v>
      </c>
      <c r="BC33" s="717" t="s">
        <v>722</v>
      </c>
      <c r="BD33" s="588" t="s">
        <v>723</v>
      </c>
      <c r="BF33" s="588" t="s">
        <v>213</v>
      </c>
      <c r="BG33" s="720">
        <v>38327</v>
      </c>
      <c r="BH33" s="588" t="s">
        <v>214</v>
      </c>
      <c r="BI33" s="411">
        <v>82163.25</v>
      </c>
      <c r="BJ33" s="411">
        <f>BI33*0.85</f>
        <v>69838.7625</v>
      </c>
      <c r="BK33" s="479" t="s">
        <v>1104</v>
      </c>
      <c r="BL33" s="411">
        <f>BI33*0.15</f>
        <v>12324.4875</v>
      </c>
      <c r="BM33" s="479" t="s">
        <v>1107</v>
      </c>
      <c r="BN33" s="411">
        <f>BI33*0.35</f>
        <v>28757.137499999997</v>
      </c>
      <c r="BO33" s="411">
        <f>+BN33*0.04</f>
        <v>1150.2855</v>
      </c>
      <c r="BP33" s="411">
        <f>+BL33*0.04</f>
        <v>492.9795</v>
      </c>
      <c r="BQ33" s="655">
        <v>706</v>
      </c>
      <c r="BR33" s="681">
        <v>38344</v>
      </c>
      <c r="BS33" s="434" t="s">
        <v>295</v>
      </c>
      <c r="BT33" s="655">
        <v>5870</v>
      </c>
      <c r="BU33" s="842" t="s">
        <v>1215</v>
      </c>
      <c r="BV33" s="681">
        <v>38372</v>
      </c>
      <c r="BW33" s="721">
        <f>69838.76+12324.49</f>
        <v>82163.25</v>
      </c>
      <c r="BX33" s="882">
        <f>69838.76+12324.49</f>
        <v>82163.25</v>
      </c>
      <c r="BY33" s="722" t="s">
        <v>1332</v>
      </c>
      <c r="BZ33" s="411"/>
      <c r="CA33" s="411"/>
      <c r="CB33" s="411"/>
      <c r="CC33" s="892" t="s">
        <v>432</v>
      </c>
      <c r="CD33" s="411"/>
      <c r="CE33" s="411"/>
      <c r="CF33" s="411"/>
      <c r="CG33" s="655"/>
      <c r="CH33" s="681"/>
      <c r="CI33" s="706"/>
      <c r="CJ33" s="681"/>
      <c r="CK33" s="872"/>
      <c r="CL33" s="708"/>
      <c r="CM33" s="708"/>
      <c r="CN33" s="708"/>
      <c r="CO33" s="708"/>
      <c r="CP33" s="708"/>
      <c r="CQ33" s="708"/>
      <c r="CR33" s="708"/>
      <c r="CS33" s="708"/>
      <c r="CT33" s="655"/>
      <c r="CU33" s="681"/>
      <c r="CV33" s="706"/>
      <c r="CW33" s="681"/>
      <c r="CX33" s="743"/>
      <c r="CY33" s="708"/>
      <c r="CZ33" s="708"/>
      <c r="DA33" s="708"/>
      <c r="DB33" s="708"/>
      <c r="DC33" s="708"/>
      <c r="DD33" s="708"/>
      <c r="DE33" s="708"/>
      <c r="DF33" s="708"/>
      <c r="DG33" s="655"/>
      <c r="DH33" s="681"/>
      <c r="DI33" s="706"/>
      <c r="DJ33" s="681"/>
      <c r="DK33" s="743"/>
      <c r="DL33" s="708"/>
      <c r="DM33" s="708"/>
      <c r="DN33" s="708"/>
      <c r="DO33" s="708"/>
      <c r="DP33" s="708"/>
      <c r="DQ33" s="708"/>
      <c r="DR33" s="708"/>
      <c r="DS33" s="708"/>
      <c r="DT33" s="655"/>
      <c r="DU33" s="681"/>
      <c r="DV33" s="706"/>
      <c r="DW33" s="681"/>
      <c r="DX33" s="867"/>
      <c r="DY33" s="708"/>
      <c r="DZ33" s="708"/>
      <c r="EA33" s="708"/>
      <c r="EB33" s="708"/>
      <c r="EC33" s="708"/>
      <c r="ED33" s="708"/>
      <c r="EE33" s="708"/>
      <c r="EF33" s="708"/>
      <c r="EG33" s="655"/>
      <c r="EH33" s="681"/>
      <c r="EI33" s="706"/>
      <c r="EJ33" s="681"/>
      <c r="EK33" s="743"/>
      <c r="EL33" s="708"/>
      <c r="EM33" s="708"/>
      <c r="EN33" s="708"/>
      <c r="EO33" s="708"/>
      <c r="EP33" s="708"/>
      <c r="EQ33" s="708"/>
      <c r="ER33" s="708"/>
      <c r="ES33" s="708"/>
      <c r="ET33" s="655"/>
      <c r="EU33" s="681"/>
      <c r="EV33" s="706"/>
      <c r="EW33" s="681"/>
      <c r="EX33" s="872"/>
      <c r="EY33" s="708"/>
      <c r="EZ33" s="708"/>
      <c r="FA33" s="708"/>
      <c r="FB33" s="708"/>
      <c r="FC33" s="708"/>
      <c r="FD33" s="708"/>
      <c r="FE33" s="708"/>
      <c r="FF33" s="708"/>
      <c r="FG33" s="708"/>
      <c r="FH33" s="708"/>
      <c r="FI33" s="708"/>
      <c r="FJ33" s="708"/>
      <c r="FK33" s="872"/>
      <c r="FL33" s="708"/>
      <c r="FM33" s="708"/>
      <c r="FN33" s="708"/>
      <c r="FO33" s="708"/>
      <c r="FP33" s="708"/>
      <c r="FQ33" s="708"/>
      <c r="FR33" s="708"/>
      <c r="FS33" s="708"/>
      <c r="FT33" s="708"/>
      <c r="FU33" s="708"/>
      <c r="FV33" s="708"/>
      <c r="FW33" s="708"/>
      <c r="FX33" s="872"/>
      <c r="FY33" s="708"/>
      <c r="FZ33" s="708"/>
      <c r="GA33" s="708"/>
      <c r="GB33" s="708"/>
      <c r="GC33" s="708"/>
      <c r="GD33" s="708"/>
      <c r="GE33" s="708"/>
      <c r="GF33" s="708"/>
      <c r="GG33" s="708"/>
      <c r="GH33" s="708"/>
      <c r="GI33" s="708"/>
      <c r="GJ33" s="708"/>
      <c r="GK33" s="872"/>
      <c r="GL33" s="872"/>
      <c r="GM33" s="872"/>
      <c r="GN33" s="872"/>
      <c r="GO33" s="872"/>
      <c r="GP33" s="872"/>
      <c r="GQ33" s="872"/>
      <c r="GR33" s="872"/>
      <c r="GS33" s="872"/>
      <c r="GT33" s="872"/>
      <c r="GU33" s="872"/>
      <c r="GV33" s="872"/>
      <c r="GW33" s="872"/>
      <c r="GX33" s="872"/>
      <c r="GY33" s="899"/>
      <c r="GZ33" s="891"/>
      <c r="HA33" s="431"/>
      <c r="HB33" s="681">
        <v>37989</v>
      </c>
      <c r="HC33" s="655">
        <v>24</v>
      </c>
      <c r="HD33" s="723">
        <f>HC33/12</f>
        <v>2</v>
      </c>
      <c r="HE33" s="723"/>
      <c r="HF33" s="712"/>
      <c r="HG33" s="656"/>
      <c r="HH33" s="723"/>
      <c r="HI33" s="656"/>
      <c r="HJ33" s="708">
        <f>(T33*0.5)/HD33+BI33</f>
        <v>159999.125</v>
      </c>
      <c r="HK33" s="708">
        <f>(T33*0.5)/HD33</f>
        <v>77835.875</v>
      </c>
      <c r="HL33" s="708">
        <f>(T33*0.2)</f>
        <v>62268.700000000004</v>
      </c>
      <c r="HN33" s="708"/>
    </row>
    <row r="34" spans="9:84" ht="11.25">
      <c r="I34" s="528"/>
      <c r="J34" s="431"/>
      <c r="K34" s="405"/>
      <c r="L34" s="405"/>
      <c r="M34" s="405"/>
      <c r="N34" s="430"/>
      <c r="O34" s="430"/>
      <c r="P34" s="430"/>
      <c r="Q34" s="431"/>
      <c r="R34" s="431"/>
      <c r="S34" s="430"/>
      <c r="T34" s="465">
        <f>+T27-T28</f>
        <v>5312154.199999999</v>
      </c>
      <c r="U34" s="431"/>
      <c r="V34" s="431"/>
      <c r="W34" s="430"/>
      <c r="X34" s="431"/>
      <c r="Y34" s="431"/>
      <c r="Z34" s="431"/>
      <c r="AA34" s="416"/>
      <c r="AB34" s="405"/>
      <c r="AC34" s="405"/>
      <c r="AD34" s="405"/>
      <c r="AE34" s="405"/>
      <c r="AF34" s="291"/>
      <c r="AG34" s="405"/>
      <c r="AH34" s="405"/>
      <c r="AI34" s="405"/>
      <c r="AJ34" s="447"/>
      <c r="AK34" s="405"/>
      <c r="AL34" s="405"/>
      <c r="AM34" s="416"/>
      <c r="AN34" s="416"/>
      <c r="AQ34" s="405"/>
      <c r="AR34" s="405"/>
      <c r="AS34" s="291"/>
      <c r="AT34" s="291"/>
      <c r="BI34" s="431"/>
      <c r="BJ34" s="431"/>
      <c r="BK34" s="450"/>
      <c r="BL34" s="431"/>
      <c r="BM34" s="450"/>
      <c r="BN34" s="431"/>
      <c r="BO34" s="431"/>
      <c r="BP34" s="431"/>
      <c r="BZ34" s="431"/>
      <c r="CA34" s="431"/>
      <c r="CB34" s="431"/>
      <c r="CC34" s="431"/>
      <c r="CD34" s="431"/>
      <c r="CE34" s="431"/>
      <c r="CF34" s="431"/>
    </row>
    <row r="35" spans="20:40" ht="11.25">
      <c r="T35" s="465">
        <f>36000000-T27</f>
        <v>7011560.91</v>
      </c>
      <c r="AN35" s="467"/>
    </row>
    <row r="36" spans="40:78" ht="11.25">
      <c r="AN36" s="467"/>
      <c r="BI36" s="465">
        <f>SUBTOTAL(9,BI4:BI26)</f>
        <v>7843877.235000001</v>
      </c>
      <c r="BZ36" s="465">
        <f>SUBTOTAL(9,BZ4:BZ26)</f>
        <v>4298748.134186</v>
      </c>
    </row>
    <row r="37" ht="11.25">
      <c r="AN37" s="467"/>
    </row>
    <row r="38" spans="40:75" ht="11.25">
      <c r="AN38" s="467"/>
      <c r="BT38" s="500"/>
      <c r="BU38" s="843"/>
      <c r="BV38" s="504"/>
      <c r="BW38" s="704"/>
    </row>
    <row r="39" spans="72:75" ht="11.25">
      <c r="BT39" s="500"/>
      <c r="BU39" s="843"/>
      <c r="BV39" s="504"/>
      <c r="BW39" s="704"/>
    </row>
    <row r="59" ht="11.25"/>
    <row r="60" ht="11.25"/>
    <row r="61" ht="11.25"/>
    <row r="62" ht="11.25"/>
    <row r="63" ht="11.25"/>
  </sheetData>
  <sheetProtection/>
  <mergeCells count="14">
    <mergeCell ref="GL1:GX1"/>
    <mergeCell ref="HO1:HU1"/>
    <mergeCell ref="FL1:FX1"/>
    <mergeCell ref="FY1:GK1"/>
    <mergeCell ref="GY1:HN1"/>
    <mergeCell ref="FR19:FS19"/>
    <mergeCell ref="BI1:BX1"/>
    <mergeCell ref="DL1:DX1"/>
    <mergeCell ref="DY1:EK1"/>
    <mergeCell ref="BY1:CK1"/>
    <mergeCell ref="CL1:CX1"/>
    <mergeCell ref="CY1:DK1"/>
    <mergeCell ref="EL1:EX1"/>
    <mergeCell ref="EY1:FK1"/>
  </mergeCells>
  <hyperlinks>
    <hyperlink ref="AS10" r:id="rId1" display="uncibari@libero.it"/>
    <hyperlink ref="AS9" r:id="rId2" display="confartigianato.puglia@virgilio.it"/>
    <hyperlink ref="AS11" r:id="rId3" display="infobari@archiworld.it"/>
    <hyperlink ref="AS6" r:id="rId4" display="confapipuglia@libero.it"/>
    <hyperlink ref="AS14" r:id="rId5" display="samy.dicomite@inwind.it"/>
    <hyperlink ref="AS15" r:id="rId6" display="amoruso@danieleamoruso.it"/>
    <hyperlink ref="AS4" r:id="rId7" display="ancepgl@tin.it"/>
    <hyperlink ref="AS5" r:id="rId8" display="rmarazia@libero.it"/>
    <hyperlink ref="AT22" r:id="rId9" display="federazioneingegneri@ingpuglia.it"/>
    <hyperlink ref="AT21" r:id="rId10" display="info@ordinemedici-lecce.it"/>
    <hyperlink ref="AT23" r:id="rId11" display="info@pugliadoc.net"/>
    <hyperlink ref="AT19" r:id="rId12" display="puglia@cia.it"/>
    <hyperlink ref="AS33" r:id="rId13" display="targeda@libero.it"/>
    <hyperlink ref="AS7" r:id="rId14" display="conf-puglia@flashnet.it"/>
    <hyperlink ref="AS20" r:id="rId15" display="apimasalento@libero.it"/>
    <hyperlink ref="AS13" r:id="rId16" display="manzariv@sudsistemi.it"/>
    <hyperlink ref="AS16" r:id="rId17" display="studiomilillo@libero.it"/>
    <hyperlink ref="AS25" r:id="rId18" display="robertopapadia@tiscali.it"/>
    <hyperlink ref="AT18" r:id="rId19" display="ced@apaba.it"/>
    <hyperlink ref="AS26" r:id="rId20" display="puglia@confcommercio.it"/>
    <hyperlink ref="AT3" r:id="rId21" display="confindustriapuglia@confindustriapuglia.it"/>
    <hyperlink ref="AT4" r:id="rId22" display="ancepgl@tin.it"/>
    <hyperlink ref="AT6" r:id="rId23" display="confapipuglia@libero.it"/>
    <hyperlink ref="AT9" r:id="rId24" display="confartigianato.puglia@virgilio.it"/>
    <hyperlink ref="AT10" r:id="rId25" display="uncibari@libero.it"/>
    <hyperlink ref="AT33" r:id="rId26" display="targeda@libero.it"/>
    <hyperlink ref="AT7" r:id="rId27" display="conf-puglia@flashnet.it"/>
    <hyperlink ref="AT15" r:id="rId28" display="amoruso@danieleamoruso.it"/>
    <hyperlink ref="AS22" r:id="rId29" display="c.fonseca@tiscali.it"/>
    <hyperlink ref="AS21" r:id="rId30" display="r.rollo@ausl.le.it"/>
    <hyperlink ref="AS19" r:id="rId31" display="f.catapano@cia.it"/>
    <hyperlink ref="AS23" r:id="rId32" display="gio725@libero.it"/>
    <hyperlink ref="AT20" r:id="rId33" display="apimasalento@libero.it"/>
    <hyperlink ref="AS17" r:id="rId34" display="bari@cng.it"/>
    <hyperlink ref="AT17" r:id="rId35" display="bari@cng.it"/>
    <hyperlink ref="AT25" r:id="rId36" display="carlo.poppa@libero.it"/>
    <hyperlink ref="AT26" r:id="rId37" display="puglia@confcommercio.it"/>
    <hyperlink ref="AT14" r:id="rId38" display="puglia@cna.it"/>
    <hyperlink ref="AS24" r:id="rId39" display="Cnalucera@tiscalinet.it"/>
    <hyperlink ref="AX22" r:id="rId40" display="Bari, 26/10/2004"/>
    <hyperlink ref="AX15" r:id="rId41" display="Bari, 26/10/2004"/>
    <hyperlink ref="AX25" r:id="rId42" display="Bari, 26/10/2004"/>
    <hyperlink ref="AX23" r:id="rId43" display="Bari, 26/10/2004"/>
    <hyperlink ref="AX20" r:id="rId44" display="Bari, 26/10/2004"/>
    <hyperlink ref="AT5" r:id="rId45" display="legacoop@legapuglia.it"/>
    <hyperlink ref="AX13" r:id="rId46" display="ALLEGATO 2"/>
    <hyperlink ref="AX6" r:id="rId47" display="ALLEGATO 2"/>
    <hyperlink ref="AX17" r:id="rId48" display="ALLEGATO 2"/>
    <hyperlink ref="AX14" r:id="rId49" display="ALLEGATO 2"/>
    <hyperlink ref="AX16" r:id="rId50" display="\\Sciacovellitcno\Misura62 di nicola\Misura 62 imprese\valutazioni\30-Viridia Agronomi\Istruttoria I Quota.doc"/>
    <hyperlink ref="AX10" r:id="rId51" display="ALLEGATO 2"/>
    <hyperlink ref="AX7" r:id="rId52" display="ALLEGATO 2"/>
    <hyperlink ref="AX9" r:id="rId53" display="xxxxxx"/>
    <hyperlink ref="AX4" r:id="rId54" display="ALLEGATO 2"/>
    <hyperlink ref="AX19" r:id="rId55" display="ALLEGATO 2"/>
    <hyperlink ref="AX11" r:id="rId56" display="\\Sciacovellitcno\Misura62 di nicola\Misura 62 imprese\valutazioni\25_Arch-online_Ass_Architetti\Istruttoria I Quota.doc"/>
    <hyperlink ref="AX18" r:id="rId57" display="ALLEGATO 2"/>
    <hyperlink ref="AX26" r:id="rId58" display="\\Sciacovellitcno\divella\Documenti\50-Confcommercio Incom\Istruttoria I Quota.doc"/>
    <hyperlink ref="AS8" r:id="rId59" display="fabio.spilotros@libero.it"/>
    <hyperlink ref="AX12" r:id="rId60" display="\\Sciacovellitcno\divella\Documenti\26_farmacisti\Istruttoria I quota anticipazione.doc"/>
    <hyperlink ref="AS18" r:id="rId61" display="ara.puglia@tiscali.it"/>
    <hyperlink ref="AT8" r:id="rId62" display="fabio.spilotros@libero.it"/>
    <hyperlink ref="AT13" r:id="rId63" display="dora.palmiotti@costellazioneapulia.net"/>
  </hyperlinks>
  <printOptions gridLines="1" horizontalCentered="1" verticalCentered="1"/>
  <pageMargins left="0.2755905511811024" right="0.15748031496062992" top="0.2362204724409449" bottom="0.35433070866141736" header="0.15748031496062992" footer="0.2362204724409449"/>
  <pageSetup horizontalDpi="300" verticalDpi="300" orientation="landscape" paperSize="8" r:id="rId66"/>
  <legacyDrawing r:id="rId65"/>
</worksheet>
</file>

<file path=xl/worksheets/sheet3.xml><?xml version="1.0" encoding="utf-8"?>
<worksheet xmlns="http://schemas.openxmlformats.org/spreadsheetml/2006/main" xmlns:r="http://schemas.openxmlformats.org/officeDocument/2006/relationships">
  <sheetPr>
    <pageSetUpPr fitToPage="1"/>
  </sheetPr>
  <dimension ref="A1:GD39"/>
  <sheetViews>
    <sheetView tabSelected="1" workbookViewId="0" topLeftCell="A1">
      <pane xSplit="4" ySplit="2" topLeftCell="AB3" activePane="bottomRight" state="frozen"/>
      <selection pane="topLeft" activeCell="A1" sqref="A1"/>
      <selection pane="topRight" activeCell="E1" sqref="E1"/>
      <selection pane="bottomLeft" activeCell="A3" sqref="A3"/>
      <selection pane="bottomRight" activeCell="AD11" sqref="AD11"/>
    </sheetView>
  </sheetViews>
  <sheetFormatPr defaultColWidth="5.57421875" defaultRowHeight="12.75"/>
  <cols>
    <col min="1" max="1" width="4.57421875" style="449" customWidth="1"/>
    <col min="2" max="2" width="3.28125" style="418" hidden="1" customWidth="1"/>
    <col min="3" max="3" width="3.421875" style="405" customWidth="1"/>
    <col min="4" max="4" width="32.00390625" style="155" customWidth="1"/>
    <col min="5" max="5" width="15.7109375" style="155" customWidth="1"/>
    <col min="6" max="6" width="3.57421875" style="155" customWidth="1"/>
    <col min="7" max="7" width="19.28125" style="155" customWidth="1"/>
    <col min="8" max="8" width="11.421875" style="819" customWidth="1"/>
    <col min="9" max="9" width="15.421875" style="532" customWidth="1"/>
    <col min="10" max="10" width="11.8515625" style="465" customWidth="1"/>
    <col min="11" max="11" width="4.57421875" style="449" customWidth="1"/>
    <col min="12" max="13" width="3.00390625" style="449" customWidth="1"/>
    <col min="14" max="14" width="12.28125" style="466" customWidth="1"/>
    <col min="15" max="15" width="12.28125" style="446" customWidth="1"/>
    <col min="16" max="16" width="10.7109375" style="446" customWidth="1"/>
    <col min="17" max="17" width="11.140625" style="465" customWidth="1"/>
    <col min="18" max="18" width="11.57421875" style="465" customWidth="1"/>
    <col min="19" max="19" width="10.8515625" style="446" customWidth="1"/>
    <col min="20" max="20" width="11.28125" style="465" customWidth="1"/>
    <col min="21" max="21" width="10.8515625" style="465" customWidth="1"/>
    <col min="22" max="22" width="12.57421875" style="465" customWidth="1"/>
    <col min="23" max="23" width="12.140625" style="446" customWidth="1"/>
    <col min="24" max="25" width="10.8515625" style="465" customWidth="1"/>
    <col min="26" max="26" width="12.00390625" style="465" customWidth="1"/>
    <col min="27" max="27" width="10.421875" style="467" customWidth="1"/>
    <col min="28" max="28" width="9.57421875" style="449" customWidth="1"/>
    <col min="29" max="29" width="6.140625" style="449" customWidth="1"/>
    <col min="30" max="30" width="8.140625" style="449" customWidth="1"/>
    <col min="31" max="31" width="4.00390625" style="449" customWidth="1"/>
    <col min="32" max="32" width="12.421875" style="288" customWidth="1"/>
    <col min="33" max="33" width="5.28125" style="449" customWidth="1"/>
    <col min="34" max="34" width="6.140625" style="449" customWidth="1"/>
    <col min="35" max="35" width="11.421875" style="449" customWidth="1"/>
    <col min="36" max="36" width="14.421875" style="468" customWidth="1"/>
    <col min="37" max="37" width="4.28125" style="449" hidden="1" customWidth="1"/>
    <col min="38" max="38" width="4.140625" style="449" customWidth="1"/>
    <col min="39" max="39" width="9.7109375" style="467" customWidth="1"/>
    <col min="40" max="40" width="9.28125" style="449" customWidth="1"/>
    <col min="41" max="41" width="9.8515625" style="418" customWidth="1"/>
    <col min="42" max="42" width="5.421875" style="418" customWidth="1"/>
    <col min="43" max="43" width="5.421875" style="449" customWidth="1"/>
    <col min="44" max="44" width="5.28125" style="449" customWidth="1"/>
    <col min="45" max="46" width="18.00390625" style="288" customWidth="1"/>
    <col min="47" max="47" width="6.7109375" style="448" customWidth="1"/>
    <col min="48" max="48" width="9.57421875" style="827" customWidth="1"/>
    <col min="49" max="49" width="9.00390625" style="827" customWidth="1"/>
    <col min="50" max="50" width="10.140625" style="483" bestFit="1" customWidth="1"/>
    <col min="51" max="51" width="13.7109375" style="468" customWidth="1"/>
    <col min="52" max="52" width="5.57421875" style="468" customWidth="1"/>
    <col min="53" max="53" width="7.140625" style="468" customWidth="1"/>
    <col min="54" max="54" width="16.7109375" style="468" customWidth="1"/>
    <col min="55" max="55" width="10.8515625" style="449" customWidth="1"/>
    <col min="56" max="56" width="9.57421875" style="468" bestFit="1" customWidth="1"/>
    <col min="57" max="57" width="9.57421875" style="468" customWidth="1"/>
    <col min="58" max="58" width="5.57421875" style="468" customWidth="1"/>
    <col min="59" max="59" width="9.00390625" style="827" customWidth="1"/>
    <col min="60" max="60" width="8.421875" style="468" customWidth="1"/>
    <col min="61" max="61" width="11.00390625" style="465" customWidth="1"/>
    <col min="62" max="62" width="11.421875" style="465" customWidth="1"/>
    <col min="63" max="63" width="5.00390625" style="469" customWidth="1"/>
    <col min="64" max="64" width="10.140625" style="465" customWidth="1"/>
    <col min="65" max="65" width="4.7109375" style="469" customWidth="1"/>
    <col min="66" max="68" width="9.7109375" style="465" customWidth="1"/>
    <col min="69" max="69" width="5.57421875" style="487" customWidth="1"/>
    <col min="70" max="70" width="8.7109375" style="467" customWidth="1"/>
    <col min="71" max="71" width="3.28125" style="449" customWidth="1"/>
    <col min="72" max="72" width="5.57421875" style="487" customWidth="1"/>
    <col min="73" max="73" width="10.57421875" style="840" customWidth="1"/>
    <col min="74" max="74" width="8.8515625" style="467" customWidth="1"/>
    <col min="75" max="75" width="10.28125" style="532" customWidth="1"/>
    <col min="76" max="76" width="12.140625" style="880" customWidth="1"/>
    <col min="77" max="112" width="8.7109375" style="875" customWidth="1"/>
    <col min="113" max="113" width="9.421875" style="875" customWidth="1"/>
    <col min="114" max="138" width="8.7109375" style="875" customWidth="1"/>
    <col min="139" max="139" width="10.140625" style="875" customWidth="1"/>
    <col min="140" max="154" width="8.7109375" style="875" customWidth="1"/>
    <col min="155" max="158" width="10.7109375" style="875" customWidth="1"/>
    <col min="159" max="159" width="11.57421875" style="875" customWidth="1"/>
    <col min="160" max="160" width="9.28125" style="875" customWidth="1"/>
    <col min="161" max="162" width="11.57421875" style="875" customWidth="1"/>
    <col min="163" max="164" width="8.57421875" style="875" customWidth="1"/>
    <col min="165" max="168" width="11.57421875" style="875" customWidth="1"/>
    <col min="169" max="171" width="11.8515625" style="880" customWidth="1"/>
    <col min="172" max="172" width="8.57421875" style="880" customWidth="1"/>
    <col min="173" max="173" width="1.8515625" style="900" customWidth="1"/>
    <col min="174" max="174" width="8.57421875" style="850" customWidth="1"/>
    <col min="175" max="175" width="3.57421875" style="487" customWidth="1"/>
    <col min="176" max="176" width="3.57421875" style="696" customWidth="1"/>
    <col min="177" max="177" width="9.28125" style="696" customWidth="1"/>
    <col min="178" max="178" width="1.57421875" style="1075" customWidth="1"/>
    <col min="179" max="179" width="6.7109375" style="418" customWidth="1"/>
    <col min="180" max="180" width="7.00390625" style="418" bestFit="1" customWidth="1"/>
    <col min="181" max="181" width="11.57421875" style="418" customWidth="1"/>
    <col min="182" max="182" width="11.00390625" style="418" customWidth="1"/>
    <col min="183" max="183" width="9.421875" style="418" customWidth="1"/>
    <col min="184" max="184" width="10.140625" style="418" customWidth="1"/>
    <col min="185" max="185" width="9.421875" style="418" customWidth="1"/>
    <col min="186" max="186" width="10.421875" style="418" customWidth="1"/>
    <col min="187" max="16384" width="5.57421875" style="418" customWidth="1"/>
  </cols>
  <sheetData>
    <row r="1" spans="61:186" ht="12.75" customHeight="1">
      <c r="BI1" s="1228" t="s">
        <v>216</v>
      </c>
      <c r="BJ1" s="1229"/>
      <c r="BK1" s="1229"/>
      <c r="BL1" s="1229"/>
      <c r="BM1" s="1229"/>
      <c r="BN1" s="1229"/>
      <c r="BO1" s="1229"/>
      <c r="BP1" s="1229"/>
      <c r="BQ1" s="1229"/>
      <c r="BR1" s="1229"/>
      <c r="BS1" s="1229"/>
      <c r="BT1" s="1229"/>
      <c r="BU1" s="1229"/>
      <c r="BV1" s="1229"/>
      <c r="BW1" s="1229"/>
      <c r="BX1" s="1230"/>
      <c r="BY1" s="1252" t="s">
        <v>331</v>
      </c>
      <c r="BZ1" s="1253"/>
      <c r="CA1" s="1253"/>
      <c r="CB1" s="1253"/>
      <c r="CC1" s="1253"/>
      <c r="CD1" s="1253"/>
      <c r="CE1" s="1253"/>
      <c r="CF1" s="1253"/>
      <c r="CG1" s="1253"/>
      <c r="CH1" s="1253"/>
      <c r="CI1" s="1253"/>
      <c r="CJ1" s="1253"/>
      <c r="CK1" s="1254"/>
      <c r="CL1" s="1251" t="s">
        <v>1000</v>
      </c>
      <c r="CM1" s="1234"/>
      <c r="CN1" s="1234"/>
      <c r="CO1" s="1234"/>
      <c r="CP1" s="1234"/>
      <c r="CQ1" s="1234"/>
      <c r="CR1" s="1234"/>
      <c r="CS1" s="1234"/>
      <c r="CT1" s="1234"/>
      <c r="CU1" s="1234"/>
      <c r="CV1" s="1234"/>
      <c r="CW1" s="1234"/>
      <c r="CX1" s="1236"/>
      <c r="CY1" s="1257" t="s">
        <v>190</v>
      </c>
      <c r="CZ1" s="1231"/>
      <c r="DA1" s="1231"/>
      <c r="DB1" s="1231"/>
      <c r="DC1" s="1231"/>
      <c r="DD1" s="1231"/>
      <c r="DE1" s="1231"/>
      <c r="DF1" s="1231"/>
      <c r="DG1" s="1231"/>
      <c r="DH1" s="1231"/>
      <c r="DI1" s="1231"/>
      <c r="DJ1" s="1231"/>
      <c r="DK1" s="1233"/>
      <c r="DL1" s="1258" t="s">
        <v>196</v>
      </c>
      <c r="DM1" s="1259"/>
      <c r="DN1" s="1259"/>
      <c r="DO1" s="1259"/>
      <c r="DP1" s="1259"/>
      <c r="DQ1" s="1259"/>
      <c r="DR1" s="1259"/>
      <c r="DS1" s="1259"/>
      <c r="DT1" s="1259"/>
      <c r="DU1" s="1259"/>
      <c r="DV1" s="1259"/>
      <c r="DW1" s="1259"/>
      <c r="DX1" s="1260"/>
      <c r="DY1" s="1261" t="s">
        <v>202</v>
      </c>
      <c r="DZ1" s="1262"/>
      <c r="EA1" s="1262"/>
      <c r="EB1" s="1262"/>
      <c r="EC1" s="1262"/>
      <c r="ED1" s="1262"/>
      <c r="EE1" s="1262"/>
      <c r="EF1" s="1262"/>
      <c r="EG1" s="1262"/>
      <c r="EH1" s="1262"/>
      <c r="EI1" s="1262"/>
      <c r="EJ1" s="1262"/>
      <c r="EK1" s="1263"/>
      <c r="EL1" s="1264" t="s">
        <v>202</v>
      </c>
      <c r="EM1" s="1265"/>
      <c r="EN1" s="1265"/>
      <c r="EO1" s="1265"/>
      <c r="EP1" s="1265"/>
      <c r="EQ1" s="1265"/>
      <c r="ER1" s="1265"/>
      <c r="ES1" s="1265"/>
      <c r="ET1" s="1265"/>
      <c r="EU1" s="1265"/>
      <c r="EV1" s="1265"/>
      <c r="EW1" s="1265"/>
      <c r="EX1" s="1266"/>
      <c r="EY1" s="1255" t="s">
        <v>1372</v>
      </c>
      <c r="EZ1" s="1256"/>
      <c r="FA1" s="1256"/>
      <c r="FB1" s="1256"/>
      <c r="FC1" s="1256"/>
      <c r="FD1" s="1256"/>
      <c r="FE1" s="1256"/>
      <c r="FF1" s="1256"/>
      <c r="FG1" s="1256"/>
      <c r="FH1" s="1256"/>
      <c r="FI1" s="1256"/>
      <c r="FJ1" s="1256"/>
      <c r="FK1" s="1256"/>
      <c r="FL1" s="1256"/>
      <c r="FM1" s="1256"/>
      <c r="FN1" s="1256"/>
      <c r="FO1" s="1256"/>
      <c r="FP1" s="1256"/>
      <c r="FQ1" s="1070"/>
      <c r="FR1" s="1071"/>
      <c r="FS1" s="1071"/>
      <c r="FT1" s="1071"/>
      <c r="FU1" s="1071"/>
      <c r="FV1" s="1072"/>
      <c r="FW1" s="1078"/>
      <c r="FX1" s="1078"/>
      <c r="FY1" s="1078"/>
      <c r="FZ1" s="1078"/>
      <c r="GA1" s="1078"/>
      <c r="GB1" s="1079"/>
      <c r="GC1" s="1078"/>
      <c r="GD1" s="1078"/>
    </row>
    <row r="2" spans="1:186" s="395" customFormat="1" ht="122.25" customHeight="1">
      <c r="A2" s="395" t="s">
        <v>769</v>
      </c>
      <c r="B2" s="396" t="s">
        <v>770</v>
      </c>
      <c r="C2" s="396" t="s">
        <v>665</v>
      </c>
      <c r="D2" s="521" t="s">
        <v>771</v>
      </c>
      <c r="E2" s="521" t="s">
        <v>772</v>
      </c>
      <c r="F2" s="521" t="s">
        <v>153</v>
      </c>
      <c r="G2" s="521" t="s">
        <v>1101</v>
      </c>
      <c r="H2" s="398" t="s">
        <v>1176</v>
      </c>
      <c r="I2" s="525" t="s">
        <v>267</v>
      </c>
      <c r="J2" s="399" t="s">
        <v>161</v>
      </c>
      <c r="K2" s="398" t="s">
        <v>774</v>
      </c>
      <c r="L2" s="398" t="s">
        <v>775</v>
      </c>
      <c r="M2" s="398" t="s">
        <v>776</v>
      </c>
      <c r="N2" s="397" t="s">
        <v>777</v>
      </c>
      <c r="O2" s="397" t="s">
        <v>778</v>
      </c>
      <c r="P2" s="397" t="s">
        <v>779</v>
      </c>
      <c r="Q2" s="399" t="s">
        <v>162</v>
      </c>
      <c r="R2" s="399" t="s">
        <v>163</v>
      </c>
      <c r="S2" s="397" t="s">
        <v>780</v>
      </c>
      <c r="T2" s="399" t="s">
        <v>1092</v>
      </c>
      <c r="U2" s="399" t="s">
        <v>925</v>
      </c>
      <c r="V2" s="399" t="s">
        <v>926</v>
      </c>
      <c r="W2" s="399" t="s">
        <v>781</v>
      </c>
      <c r="X2" s="399" t="s">
        <v>782</v>
      </c>
      <c r="Y2" s="399" t="s">
        <v>158</v>
      </c>
      <c r="Z2" s="399" t="s">
        <v>157</v>
      </c>
      <c r="AA2" s="400" t="s">
        <v>753</v>
      </c>
      <c r="AB2" s="401" t="s">
        <v>755</v>
      </c>
      <c r="AC2" s="401" t="s">
        <v>754</v>
      </c>
      <c r="AD2" s="402" t="s">
        <v>783</v>
      </c>
      <c r="AE2" s="402" t="s">
        <v>784</v>
      </c>
      <c r="AF2" s="402" t="s">
        <v>785</v>
      </c>
      <c r="AG2" s="402" t="s">
        <v>786</v>
      </c>
      <c r="AH2" s="401" t="s">
        <v>787</v>
      </c>
      <c r="AI2" s="402" t="s">
        <v>788</v>
      </c>
      <c r="AJ2" s="520" t="s">
        <v>789</v>
      </c>
      <c r="AK2" s="398" t="s">
        <v>790</v>
      </c>
      <c r="AL2" s="977" t="s">
        <v>997</v>
      </c>
      <c r="AM2" s="978" t="s">
        <v>998</v>
      </c>
      <c r="AN2" s="398" t="s">
        <v>72</v>
      </c>
      <c r="AO2" s="396" t="s">
        <v>1009</v>
      </c>
      <c r="AP2" s="396" t="s">
        <v>1010</v>
      </c>
      <c r="AQ2" s="398" t="s">
        <v>73</v>
      </c>
      <c r="AR2" s="398" t="s">
        <v>74</v>
      </c>
      <c r="AS2" s="398" t="s">
        <v>252</v>
      </c>
      <c r="AT2" s="398" t="s">
        <v>253</v>
      </c>
      <c r="AU2" s="397" t="s">
        <v>294</v>
      </c>
      <c r="AV2" s="828" t="s">
        <v>258</v>
      </c>
      <c r="AW2" s="828" t="s">
        <v>259</v>
      </c>
      <c r="AX2" s="828" t="s">
        <v>260</v>
      </c>
      <c r="AY2" s="533" t="s">
        <v>264</v>
      </c>
      <c r="AZ2" s="533" t="s">
        <v>265</v>
      </c>
      <c r="BA2" s="533" t="s">
        <v>268</v>
      </c>
      <c r="BB2" s="533" t="s">
        <v>377</v>
      </c>
      <c r="BC2" s="533" t="s">
        <v>261</v>
      </c>
      <c r="BD2" s="533" t="s">
        <v>266</v>
      </c>
      <c r="BE2" s="533" t="s">
        <v>1451</v>
      </c>
      <c r="BF2" s="533" t="s">
        <v>273</v>
      </c>
      <c r="BG2" s="828" t="s">
        <v>275</v>
      </c>
      <c r="BH2" s="533" t="s">
        <v>274</v>
      </c>
      <c r="BI2" s="399" t="s">
        <v>257</v>
      </c>
      <c r="BJ2" s="399" t="s">
        <v>262</v>
      </c>
      <c r="BK2" s="404" t="s">
        <v>283</v>
      </c>
      <c r="BL2" s="399" t="s">
        <v>263</v>
      </c>
      <c r="BM2" s="404" t="s">
        <v>284</v>
      </c>
      <c r="BN2" s="399" t="s">
        <v>1091</v>
      </c>
      <c r="BO2" s="399" t="s">
        <v>841</v>
      </c>
      <c r="BP2" s="399" t="s">
        <v>842</v>
      </c>
      <c r="BQ2" s="398" t="s">
        <v>422</v>
      </c>
      <c r="BR2" s="403" t="s">
        <v>423</v>
      </c>
      <c r="BS2" s="403" t="s">
        <v>1103</v>
      </c>
      <c r="BT2" s="499" t="s">
        <v>366</v>
      </c>
      <c r="BU2" s="836" t="s">
        <v>1216</v>
      </c>
      <c r="BV2" s="503" t="s">
        <v>1047</v>
      </c>
      <c r="BW2" s="700" t="s">
        <v>1052</v>
      </c>
      <c r="BX2" s="507" t="s">
        <v>1053</v>
      </c>
      <c r="BY2" s="563" t="s">
        <v>333</v>
      </c>
      <c r="BZ2" s="563" t="s">
        <v>334</v>
      </c>
      <c r="CA2" s="563" t="s">
        <v>335</v>
      </c>
      <c r="CB2" s="563" t="s">
        <v>336</v>
      </c>
      <c r="CC2" s="563" t="s">
        <v>337</v>
      </c>
      <c r="CD2" s="563" t="s">
        <v>1091</v>
      </c>
      <c r="CE2" s="563" t="s">
        <v>1218</v>
      </c>
      <c r="CF2" s="563" t="s">
        <v>1219</v>
      </c>
      <c r="CG2" s="564" t="s">
        <v>422</v>
      </c>
      <c r="CH2" s="565" t="s">
        <v>423</v>
      </c>
      <c r="CI2" s="836" t="s">
        <v>1216</v>
      </c>
      <c r="CJ2" s="503" t="s">
        <v>1047</v>
      </c>
      <c r="CK2" s="700" t="s">
        <v>1052</v>
      </c>
      <c r="CL2" s="563" t="s">
        <v>1001</v>
      </c>
      <c r="CM2" s="563" t="s">
        <v>1002</v>
      </c>
      <c r="CN2" s="563" t="s">
        <v>1003</v>
      </c>
      <c r="CO2" s="563" t="s">
        <v>1004</v>
      </c>
      <c r="CP2" s="563" t="s">
        <v>1005</v>
      </c>
      <c r="CQ2" s="563" t="s">
        <v>1091</v>
      </c>
      <c r="CR2" s="563" t="s">
        <v>1218</v>
      </c>
      <c r="CS2" s="563" t="s">
        <v>1219</v>
      </c>
      <c r="CT2" s="564" t="s">
        <v>422</v>
      </c>
      <c r="CU2" s="565" t="s">
        <v>423</v>
      </c>
      <c r="CV2" s="836" t="s">
        <v>1216</v>
      </c>
      <c r="CW2" s="503" t="s">
        <v>1047</v>
      </c>
      <c r="CX2" s="700" t="s">
        <v>1052</v>
      </c>
      <c r="CY2" s="563" t="s">
        <v>191</v>
      </c>
      <c r="CZ2" s="563" t="s">
        <v>192</v>
      </c>
      <c r="DA2" s="563" t="s">
        <v>193</v>
      </c>
      <c r="DB2" s="563" t="s">
        <v>194</v>
      </c>
      <c r="DC2" s="563" t="s">
        <v>195</v>
      </c>
      <c r="DD2" s="563" t="s">
        <v>1091</v>
      </c>
      <c r="DE2" s="563" t="s">
        <v>1218</v>
      </c>
      <c r="DF2" s="563" t="s">
        <v>1219</v>
      </c>
      <c r="DG2" s="564" t="s">
        <v>422</v>
      </c>
      <c r="DH2" s="565" t="s">
        <v>423</v>
      </c>
      <c r="DI2" s="836" t="s">
        <v>1216</v>
      </c>
      <c r="DJ2" s="503" t="s">
        <v>1047</v>
      </c>
      <c r="DK2" s="700" t="s">
        <v>1052</v>
      </c>
      <c r="DL2" s="563" t="s">
        <v>197</v>
      </c>
      <c r="DM2" s="563" t="s">
        <v>198</v>
      </c>
      <c r="DN2" s="563" t="s">
        <v>199</v>
      </c>
      <c r="DO2" s="563" t="s">
        <v>200</v>
      </c>
      <c r="DP2" s="563" t="s">
        <v>201</v>
      </c>
      <c r="DQ2" s="563" t="s">
        <v>1091</v>
      </c>
      <c r="DR2" s="563" t="s">
        <v>1218</v>
      </c>
      <c r="DS2" s="563" t="s">
        <v>1219</v>
      </c>
      <c r="DT2" s="564" t="s">
        <v>422</v>
      </c>
      <c r="DU2" s="565" t="s">
        <v>423</v>
      </c>
      <c r="DV2" s="836" t="s">
        <v>1216</v>
      </c>
      <c r="DW2" s="503" t="s">
        <v>1047</v>
      </c>
      <c r="DX2" s="700" t="s">
        <v>1052</v>
      </c>
      <c r="DY2" s="563" t="s">
        <v>203</v>
      </c>
      <c r="DZ2" s="563" t="s">
        <v>204</v>
      </c>
      <c r="EA2" s="563" t="s">
        <v>205</v>
      </c>
      <c r="EB2" s="563" t="s">
        <v>206</v>
      </c>
      <c r="EC2" s="563" t="s">
        <v>207</v>
      </c>
      <c r="ED2" s="563" t="s">
        <v>1091</v>
      </c>
      <c r="EE2" s="563" t="s">
        <v>1218</v>
      </c>
      <c r="EF2" s="563" t="s">
        <v>1219</v>
      </c>
      <c r="EG2" s="564" t="s">
        <v>422</v>
      </c>
      <c r="EH2" s="565" t="s">
        <v>423</v>
      </c>
      <c r="EI2" s="836" t="s">
        <v>1216</v>
      </c>
      <c r="EJ2" s="503" t="s">
        <v>1047</v>
      </c>
      <c r="EK2" s="700" t="s">
        <v>1052</v>
      </c>
      <c r="EL2" s="563" t="s">
        <v>203</v>
      </c>
      <c r="EM2" s="563" t="s">
        <v>204</v>
      </c>
      <c r="EN2" s="563" t="s">
        <v>205</v>
      </c>
      <c r="EO2" s="563" t="s">
        <v>206</v>
      </c>
      <c r="EP2" s="563" t="s">
        <v>207</v>
      </c>
      <c r="EQ2" s="563" t="s">
        <v>1091</v>
      </c>
      <c r="ER2" s="563" t="s">
        <v>1218</v>
      </c>
      <c r="ES2" s="563" t="s">
        <v>1219</v>
      </c>
      <c r="ET2" s="564" t="s">
        <v>422</v>
      </c>
      <c r="EU2" s="565" t="s">
        <v>423</v>
      </c>
      <c r="EV2" s="836" t="s">
        <v>1216</v>
      </c>
      <c r="EW2" s="503" t="s">
        <v>1047</v>
      </c>
      <c r="EX2" s="700" t="s">
        <v>1052</v>
      </c>
      <c r="EY2" s="507" t="s">
        <v>127</v>
      </c>
      <c r="EZ2" s="507" t="s">
        <v>1447</v>
      </c>
      <c r="FA2" s="507" t="s">
        <v>279</v>
      </c>
      <c r="FB2" s="507" t="s">
        <v>128</v>
      </c>
      <c r="FC2" s="507" t="s">
        <v>129</v>
      </c>
      <c r="FD2" s="507" t="s">
        <v>993</v>
      </c>
      <c r="FE2" s="507" t="s">
        <v>130</v>
      </c>
      <c r="FF2" s="507" t="s">
        <v>1448</v>
      </c>
      <c r="FG2" s="1091" t="s">
        <v>994</v>
      </c>
      <c r="FH2" s="1091" t="s">
        <v>995</v>
      </c>
      <c r="FI2" s="507" t="s">
        <v>991</v>
      </c>
      <c r="FJ2" s="507" t="s">
        <v>216</v>
      </c>
      <c r="FK2" s="507" t="s">
        <v>136</v>
      </c>
      <c r="FL2" s="1220" t="s">
        <v>364</v>
      </c>
      <c r="FM2" s="507" t="s">
        <v>133</v>
      </c>
      <c r="FN2" s="507" t="s">
        <v>134</v>
      </c>
      <c r="FO2" s="507" t="s">
        <v>1480</v>
      </c>
      <c r="FP2" s="507" t="s">
        <v>992</v>
      </c>
      <c r="FQ2" s="898"/>
      <c r="FR2" s="968" t="s">
        <v>1097</v>
      </c>
      <c r="FS2" s="969" t="s">
        <v>1210</v>
      </c>
      <c r="FT2" s="970"/>
      <c r="FU2" s="971" t="s">
        <v>1401</v>
      </c>
      <c r="FV2" s="1073" t="s">
        <v>433</v>
      </c>
      <c r="FW2" s="564" t="s">
        <v>159</v>
      </c>
      <c r="FX2" s="565" t="s">
        <v>160</v>
      </c>
      <c r="FY2" s="563" t="s">
        <v>26</v>
      </c>
      <c r="FZ2" s="563" t="s">
        <v>27</v>
      </c>
      <c r="GA2" s="563" t="s">
        <v>362</v>
      </c>
      <c r="GB2" s="563"/>
      <c r="GC2" s="563"/>
      <c r="GD2" s="563"/>
    </row>
    <row r="3" spans="1:186" s="474" customFormat="1" ht="20.25" customHeight="1">
      <c r="A3" s="421">
        <v>1</v>
      </c>
      <c r="B3" s="406" t="e">
        <f>IF(#REF!&gt;0,"si","no")</f>
        <v>#REF!</v>
      </c>
      <c r="C3" s="407">
        <v>3</v>
      </c>
      <c r="D3" s="477" t="s">
        <v>791</v>
      </c>
      <c r="E3" s="477" t="s">
        <v>792</v>
      </c>
      <c r="F3" s="477" t="s">
        <v>480</v>
      </c>
      <c r="G3" s="477" t="s">
        <v>360</v>
      </c>
      <c r="H3" s="820" t="s">
        <v>120</v>
      </c>
      <c r="I3" s="526" t="s">
        <v>1143</v>
      </c>
      <c r="J3" s="411">
        <v>3846067.41</v>
      </c>
      <c r="K3" s="410">
        <v>65</v>
      </c>
      <c r="L3" s="410" t="str">
        <f aca="true" t="shared" si="0" ref="L3:L26">IF(K3&gt;51,"è","non è")</f>
        <v>è</v>
      </c>
      <c r="M3" s="410" t="s">
        <v>793</v>
      </c>
      <c r="N3" s="409">
        <v>801075</v>
      </c>
      <c r="O3" s="409">
        <f aca="true" t="shared" si="1" ref="O3:O26">+J3-N3</f>
        <v>3044992.41</v>
      </c>
      <c r="P3" s="409">
        <f aca="true" t="shared" si="2" ref="P3:P26">+O3*0.2</f>
        <v>608998.4820000001</v>
      </c>
      <c r="Q3" s="411">
        <f aca="true" t="shared" si="3" ref="Q3:Q26">J3+P3</f>
        <v>4455065.892</v>
      </c>
      <c r="R3" s="411">
        <f aca="true" t="shared" si="4" ref="R3:R26">IF(J3*K3/100&gt;2500000,2500000,J3*K3/100)</f>
        <v>2499943.8165</v>
      </c>
      <c r="S3" s="409">
        <f aca="true" t="shared" si="5" ref="S3:S26">+P3*K3/100</f>
        <v>395849.01330000005</v>
      </c>
      <c r="T3" s="411">
        <f aca="true" t="shared" si="6" ref="T3:T26">IF(R3+S3&gt;2500000,2500000,R3+S3)</f>
        <v>2500000</v>
      </c>
      <c r="U3" s="411">
        <f>T3*0.5</f>
        <v>1250000</v>
      </c>
      <c r="V3" s="411">
        <f>T3*0.35</f>
        <v>875000</v>
      </c>
      <c r="W3" s="409">
        <f>SUM(U3:V3)</f>
        <v>2125000</v>
      </c>
      <c r="X3" s="411">
        <f aca="true" t="shared" si="7" ref="X3:X26">+T3*0.15</f>
        <v>375000</v>
      </c>
      <c r="Y3" s="411">
        <f aca="true" t="shared" si="8" ref="Y3:Y26">J3-R3</f>
        <v>1346123.5935</v>
      </c>
      <c r="Z3" s="411">
        <f aca="true" t="shared" si="9" ref="Z3:Z26">Q3-T3</f>
        <v>1955065.892</v>
      </c>
      <c r="AA3" s="437" t="s">
        <v>794</v>
      </c>
      <c r="AB3" s="438" t="s">
        <v>795</v>
      </c>
      <c r="AC3" s="438" t="s">
        <v>796</v>
      </c>
      <c r="AD3" s="406" t="s">
        <v>797</v>
      </c>
      <c r="AE3" s="406" t="s">
        <v>798</v>
      </c>
      <c r="AF3" s="406" t="s">
        <v>799</v>
      </c>
      <c r="AG3" s="406">
        <v>22</v>
      </c>
      <c r="AH3" s="406">
        <v>70124</v>
      </c>
      <c r="AI3" s="406">
        <v>80017670722</v>
      </c>
      <c r="AJ3" s="440" t="s">
        <v>800</v>
      </c>
      <c r="AK3" s="410">
        <v>100</v>
      </c>
      <c r="AL3" s="410">
        <v>202</v>
      </c>
      <c r="AM3" s="1093">
        <v>38146</v>
      </c>
      <c r="AN3" s="445">
        <v>38191</v>
      </c>
      <c r="AO3" s="406" t="s">
        <v>1013</v>
      </c>
      <c r="AP3" s="406">
        <v>1647</v>
      </c>
      <c r="AQ3" s="734">
        <v>12</v>
      </c>
      <c r="AR3" s="734">
        <v>11</v>
      </c>
      <c r="AS3" s="676"/>
      <c r="AT3" s="676" t="s">
        <v>186</v>
      </c>
      <c r="AU3" s="472" t="s">
        <v>295</v>
      </c>
      <c r="AV3" s="473">
        <v>38322</v>
      </c>
      <c r="AW3" s="473">
        <v>38321</v>
      </c>
      <c r="AX3" s="445"/>
      <c r="AY3" s="474" t="s">
        <v>728</v>
      </c>
      <c r="AZ3" s="474" t="s">
        <v>302</v>
      </c>
      <c r="BA3" s="474" t="s">
        <v>797</v>
      </c>
      <c r="BB3" s="474" t="s">
        <v>791</v>
      </c>
      <c r="BC3" s="439" t="s">
        <v>1154</v>
      </c>
      <c r="BD3" s="474" t="s">
        <v>1153</v>
      </c>
      <c r="BF3" s="536" t="s">
        <v>221</v>
      </c>
      <c r="BG3" s="473">
        <v>38331</v>
      </c>
      <c r="BH3" s="474" t="s">
        <v>250</v>
      </c>
      <c r="BI3" s="411">
        <f>T3*0.3</f>
        <v>750000</v>
      </c>
      <c r="BJ3" s="411">
        <f>BI3*0.85</f>
        <v>637500</v>
      </c>
      <c r="BK3" s="479">
        <v>2002</v>
      </c>
      <c r="BL3" s="411">
        <f aca="true" t="shared" si="10" ref="BL3:BL26">BI3*0.15</f>
        <v>112500</v>
      </c>
      <c r="BM3" s="479" t="s">
        <v>1104</v>
      </c>
      <c r="BN3" s="411">
        <f aca="true" t="shared" si="11" ref="BN3:BN21">BI3*0.35</f>
        <v>262500</v>
      </c>
      <c r="BO3" s="411"/>
      <c r="BP3" s="411"/>
      <c r="BQ3" s="540">
        <v>677</v>
      </c>
      <c r="BR3" s="445">
        <v>38336</v>
      </c>
      <c r="BS3" s="421" t="s">
        <v>154</v>
      </c>
      <c r="BT3" s="540">
        <v>5626</v>
      </c>
      <c r="BU3" s="741" t="s">
        <v>1168</v>
      </c>
      <c r="BV3" s="445">
        <v>38342</v>
      </c>
      <c r="BW3" s="443">
        <f>637500+112500</f>
        <v>750000</v>
      </c>
      <c r="BX3" s="877">
        <f>637500+112500</f>
        <v>750000</v>
      </c>
      <c r="BY3" s="870"/>
      <c r="BZ3" s="870"/>
      <c r="CA3" s="870"/>
      <c r="CB3" s="870"/>
      <c r="CC3" s="870"/>
      <c r="CD3" s="870"/>
      <c r="CE3" s="870"/>
      <c r="CF3" s="870"/>
      <c r="CG3" s="870"/>
      <c r="CH3" s="870"/>
      <c r="CI3" s="870"/>
      <c r="CJ3" s="870"/>
      <c r="CK3" s="870"/>
      <c r="CL3" s="870"/>
      <c r="CM3" s="870"/>
      <c r="CN3" s="870"/>
      <c r="CO3" s="870"/>
      <c r="CP3" s="870"/>
      <c r="CQ3" s="870"/>
      <c r="CR3" s="870"/>
      <c r="CS3" s="870"/>
      <c r="CT3" s="870"/>
      <c r="CU3" s="870"/>
      <c r="CV3" s="870"/>
      <c r="CW3" s="870"/>
      <c r="CX3" s="870"/>
      <c r="CY3" s="870"/>
      <c r="CZ3" s="870"/>
      <c r="DA3" s="870"/>
      <c r="DB3" s="870"/>
      <c r="DC3" s="870"/>
      <c r="DD3" s="870"/>
      <c r="DE3" s="870"/>
      <c r="DF3" s="870"/>
      <c r="DG3" s="870"/>
      <c r="DH3" s="870"/>
      <c r="DI3" s="870"/>
      <c r="DJ3" s="870"/>
      <c r="DK3" s="870"/>
      <c r="DL3" s="870"/>
      <c r="DM3" s="870"/>
      <c r="DN3" s="870"/>
      <c r="DO3" s="870"/>
      <c r="DP3" s="870"/>
      <c r="DQ3" s="870"/>
      <c r="DR3" s="870"/>
      <c r="DS3" s="870"/>
      <c r="DT3" s="870"/>
      <c r="DU3" s="870"/>
      <c r="DV3" s="870"/>
      <c r="DW3" s="870"/>
      <c r="DX3" s="870"/>
      <c r="DY3" s="870"/>
      <c r="DZ3" s="870"/>
      <c r="EA3" s="870"/>
      <c r="EB3" s="870"/>
      <c r="EC3" s="870"/>
      <c r="ED3" s="870"/>
      <c r="EE3" s="870"/>
      <c r="EF3" s="870"/>
      <c r="EG3" s="870"/>
      <c r="EH3" s="870"/>
      <c r="EI3" s="870"/>
      <c r="EJ3" s="870"/>
      <c r="EK3" s="870"/>
      <c r="EL3" s="870"/>
      <c r="EM3" s="870"/>
      <c r="EN3" s="870"/>
      <c r="EO3" s="870"/>
      <c r="EP3" s="870"/>
      <c r="EQ3" s="870"/>
      <c r="ER3" s="870"/>
      <c r="ES3" s="870"/>
      <c r="ET3" s="870"/>
      <c r="EU3" s="870"/>
      <c r="EV3" s="870"/>
      <c r="EW3" s="870"/>
      <c r="EX3" s="870"/>
      <c r="EY3" s="870">
        <f>+Q3</f>
        <v>4455065.892</v>
      </c>
      <c r="EZ3" s="870">
        <f>+EY3-FA3-FC3</f>
        <v>673213.8345384621</v>
      </c>
      <c r="FA3" s="870">
        <v>3585773.92</v>
      </c>
      <c r="FB3" s="1089">
        <f>+DATI!BY3+DATI!CL3+DATI!CY3+DATI!DL3+DATI!DY3+DATI!EL3+DATI!EY3+DATI!FL3+DATI!FY3</f>
        <v>3389695.782538462</v>
      </c>
      <c r="FC3" s="894">
        <f>+FA3-FB3</f>
        <v>196078.13746153796</v>
      </c>
      <c r="FD3" s="895">
        <f>FB3/FA3</f>
        <v>0.945317763518806</v>
      </c>
      <c r="FE3" s="897">
        <f>T3</f>
        <v>2500000</v>
      </c>
      <c r="FF3" s="1092">
        <f>(+FE3-FA3*0.65)</f>
        <v>169246.95200000005</v>
      </c>
      <c r="FG3" s="1097">
        <v>168</v>
      </c>
      <c r="FH3" s="1098">
        <v>39583</v>
      </c>
      <c r="FI3" s="897">
        <f>+FA3*0.65</f>
        <v>2330753.048</v>
      </c>
      <c r="FJ3" s="897">
        <f>+BX3</f>
        <v>750000</v>
      </c>
      <c r="FK3" s="897">
        <f>+DATI!GA3+DATI!FN3+DATI!FA3+DATI!EN3+DATI!EA3+DATI!DN3+DATI!DA3+DATI!CN3+DATI!CA3</f>
        <v>1453302.2659687502</v>
      </c>
      <c r="FL3" s="1221">
        <f>+EX3+EK3+DX3+DK3+CX3+CK3+DATI!GX3+DATI!GK3+DATI!FX3+DATI!FK3+DATI!EX3+DATI!EK3+DATI!DX3+DATI!DK3+DATI!CX3+DATI!CK3</f>
        <v>1342136.8429062502</v>
      </c>
      <c r="FM3" s="877">
        <f>+FK3+FJ3</f>
        <v>2203302.26596875</v>
      </c>
      <c r="FN3" s="877">
        <f>+BZ3+DATI!FZ3+DATI!FM3+DATI!EZ3+DATI!EM3+DATI!DZ3+DATI!DM3+DATI!CZ3+DATI!CM3+DATI!BZ3</f>
        <v>2203302.25865</v>
      </c>
      <c r="FO3" s="877">
        <f>+FI3-FM3</f>
        <v>127450.78203124972</v>
      </c>
      <c r="FP3" s="896">
        <f>+FN3/FI3</f>
        <v>0.945317763518806</v>
      </c>
      <c r="FQ3" s="899"/>
      <c r="FR3" s="568">
        <v>38117</v>
      </c>
      <c r="FS3" s="571">
        <f>36+6+0.73</f>
        <v>42.73</v>
      </c>
      <c r="FT3" s="733">
        <f>FS3/12</f>
        <v>3.560833333333333</v>
      </c>
      <c r="FU3" s="441">
        <f>FR3+(FS3*365/12)</f>
        <v>39416.70416666667</v>
      </c>
      <c r="FV3" s="1096" t="s">
        <v>434</v>
      </c>
      <c r="FW3" s="1161">
        <v>375</v>
      </c>
      <c r="FX3" s="1162">
        <v>39979</v>
      </c>
      <c r="FY3" s="974">
        <v>3389695.8</v>
      </c>
      <c r="FZ3" s="974">
        <v>2203302.27</v>
      </c>
      <c r="GA3" s="974"/>
      <c r="GB3" s="974"/>
      <c r="GC3" s="974"/>
      <c r="GD3" s="974"/>
    </row>
    <row r="4" spans="1:186" s="474" customFormat="1" ht="12" customHeight="1">
      <c r="A4" s="421">
        <v>2</v>
      </c>
      <c r="B4" s="406" t="e">
        <f>IF(#REF!&gt;0,"si","no")</f>
        <v>#REF!</v>
      </c>
      <c r="C4" s="407">
        <v>4</v>
      </c>
      <c r="D4" s="477" t="s">
        <v>882</v>
      </c>
      <c r="E4" s="690" t="s">
        <v>525</v>
      </c>
      <c r="F4" s="477"/>
      <c r="G4" s="477" t="s">
        <v>361</v>
      </c>
      <c r="H4" s="820" t="s">
        <v>1184</v>
      </c>
      <c r="I4" s="526" t="s">
        <v>380</v>
      </c>
      <c r="J4" s="411">
        <v>1730560</v>
      </c>
      <c r="K4" s="410">
        <v>65</v>
      </c>
      <c r="L4" s="410" t="str">
        <f t="shared" si="0"/>
        <v>è</v>
      </c>
      <c r="M4" s="410" t="s">
        <v>793</v>
      </c>
      <c r="N4" s="409">
        <v>670360</v>
      </c>
      <c r="O4" s="409">
        <f t="shared" si="1"/>
        <v>1060200</v>
      </c>
      <c r="P4" s="409">
        <f t="shared" si="2"/>
        <v>212040</v>
      </c>
      <c r="Q4" s="411">
        <f t="shared" si="3"/>
        <v>1942600</v>
      </c>
      <c r="R4" s="411">
        <f t="shared" si="4"/>
        <v>1124864</v>
      </c>
      <c r="S4" s="409">
        <f t="shared" si="5"/>
        <v>137826</v>
      </c>
      <c r="T4" s="411">
        <v>1262690</v>
      </c>
      <c r="U4" s="411">
        <f aca="true" t="shared" si="12" ref="U4:U26">T4*0.5</f>
        <v>631345</v>
      </c>
      <c r="V4" s="411">
        <f aca="true" t="shared" si="13" ref="V4:V26">T4*0.35</f>
        <v>441941.5</v>
      </c>
      <c r="W4" s="409">
        <f aca="true" t="shared" si="14" ref="W4:W26">+T4*0.85</f>
        <v>1073286.5</v>
      </c>
      <c r="X4" s="411">
        <f t="shared" si="7"/>
        <v>189403.5</v>
      </c>
      <c r="Y4" s="411">
        <f t="shared" si="8"/>
        <v>605696</v>
      </c>
      <c r="Z4" s="411">
        <f t="shared" si="9"/>
        <v>679910</v>
      </c>
      <c r="AA4" s="437">
        <v>37656</v>
      </c>
      <c r="AB4" s="438" t="s">
        <v>795</v>
      </c>
      <c r="AC4" s="438" t="s">
        <v>883</v>
      </c>
      <c r="AD4" s="406" t="s">
        <v>797</v>
      </c>
      <c r="AE4" s="406" t="s">
        <v>798</v>
      </c>
      <c r="AF4" s="406" t="s">
        <v>799</v>
      </c>
      <c r="AG4" s="406">
        <v>22</v>
      </c>
      <c r="AH4" s="406">
        <v>70100</v>
      </c>
      <c r="AI4" s="421">
        <v>93287730720</v>
      </c>
      <c r="AJ4" s="440" t="s">
        <v>50</v>
      </c>
      <c r="AK4" s="410">
        <v>59</v>
      </c>
      <c r="AL4" s="410">
        <v>266</v>
      </c>
      <c r="AM4" s="441">
        <v>38177</v>
      </c>
      <c r="AN4" s="441">
        <v>38238</v>
      </c>
      <c r="AO4" s="406" t="s">
        <v>68</v>
      </c>
      <c r="AP4" s="406">
        <v>1682</v>
      </c>
      <c r="AQ4" s="410">
        <v>30</v>
      </c>
      <c r="AR4" s="410">
        <v>25</v>
      </c>
      <c r="AS4" s="676" t="s">
        <v>168</v>
      </c>
      <c r="AT4" s="676" t="s">
        <v>168</v>
      </c>
      <c r="AU4" s="472" t="s">
        <v>295</v>
      </c>
      <c r="AV4" s="476">
        <v>38302</v>
      </c>
      <c r="AW4" s="476">
        <v>38274</v>
      </c>
      <c r="AX4" s="1081">
        <v>38320</v>
      </c>
      <c r="AY4" s="477" t="s">
        <v>728</v>
      </c>
      <c r="AZ4" s="477" t="s">
        <v>302</v>
      </c>
      <c r="BA4" s="477" t="s">
        <v>797</v>
      </c>
      <c r="BB4" s="477" t="s">
        <v>1129</v>
      </c>
      <c r="BC4" s="406" t="s">
        <v>1287</v>
      </c>
      <c r="BD4" s="477" t="s">
        <v>303</v>
      </c>
      <c r="BE4" s="477" t="s">
        <v>1481</v>
      </c>
      <c r="BF4" s="477" t="s">
        <v>990</v>
      </c>
      <c r="BG4" s="476">
        <v>38317</v>
      </c>
      <c r="BH4" s="477" t="s">
        <v>1130</v>
      </c>
      <c r="BI4" s="411">
        <f aca="true" t="shared" si="15" ref="BI4:BI26">T4*0.3</f>
        <v>378807</v>
      </c>
      <c r="BJ4" s="411">
        <f aca="true" t="shared" si="16" ref="BJ4:BJ26">BI4*0.85</f>
        <v>321985.95</v>
      </c>
      <c r="BK4" s="419">
        <v>2003</v>
      </c>
      <c r="BL4" s="411">
        <f t="shared" si="10"/>
        <v>56821.049999999996</v>
      </c>
      <c r="BM4" s="419">
        <v>2003</v>
      </c>
      <c r="BN4" s="411">
        <f t="shared" si="11"/>
        <v>132582.44999999998</v>
      </c>
      <c r="BO4" s="411"/>
      <c r="BP4" s="411"/>
      <c r="BQ4" s="410">
        <v>654</v>
      </c>
      <c r="BR4" s="441">
        <v>38323</v>
      </c>
      <c r="BS4" s="406" t="s">
        <v>154</v>
      </c>
      <c r="BT4" s="540">
        <v>5422</v>
      </c>
      <c r="BU4" s="741" t="s">
        <v>347</v>
      </c>
      <c r="BV4" s="445">
        <v>38338</v>
      </c>
      <c r="BW4" s="443">
        <f>321985.95+56821.05</f>
        <v>378807</v>
      </c>
      <c r="BX4" s="877">
        <f>321985.95+56821.05</f>
        <v>378807</v>
      </c>
      <c r="BY4" s="871"/>
      <c r="BZ4" s="871"/>
      <c r="CA4" s="871"/>
      <c r="CB4" s="871"/>
      <c r="CC4" s="871"/>
      <c r="CD4" s="871"/>
      <c r="CE4" s="871"/>
      <c r="CF4" s="871"/>
      <c r="CG4" s="871"/>
      <c r="CH4" s="871"/>
      <c r="CI4" s="871"/>
      <c r="CJ4" s="871"/>
      <c r="CK4" s="871"/>
      <c r="CL4" s="871"/>
      <c r="CM4" s="871"/>
      <c r="CN4" s="871"/>
      <c r="CO4" s="871"/>
      <c r="CP4" s="871"/>
      <c r="CQ4" s="871"/>
      <c r="CR4" s="871"/>
      <c r="CS4" s="871"/>
      <c r="CT4" s="871"/>
      <c r="CU4" s="871"/>
      <c r="CV4" s="871"/>
      <c r="CW4" s="871"/>
      <c r="CX4" s="871"/>
      <c r="CY4" s="871"/>
      <c r="CZ4" s="871"/>
      <c r="DA4" s="871"/>
      <c r="DB4" s="871"/>
      <c r="DC4" s="871"/>
      <c r="DD4" s="871"/>
      <c r="DE4" s="871"/>
      <c r="DF4" s="871"/>
      <c r="DG4" s="871"/>
      <c r="DH4" s="871"/>
      <c r="DI4" s="871"/>
      <c r="DJ4" s="871"/>
      <c r="DK4" s="871"/>
      <c r="DL4" s="871"/>
      <c r="DM4" s="871"/>
      <c r="DN4" s="871"/>
      <c r="DO4" s="871"/>
      <c r="DP4" s="871"/>
      <c r="DQ4" s="871"/>
      <c r="DR4" s="871"/>
      <c r="DS4" s="871"/>
      <c r="DT4" s="871"/>
      <c r="DU4" s="871"/>
      <c r="DV4" s="871"/>
      <c r="DW4" s="871"/>
      <c r="DX4" s="871"/>
      <c r="DY4" s="871"/>
      <c r="DZ4" s="871"/>
      <c r="EA4" s="871"/>
      <c r="EB4" s="871"/>
      <c r="EC4" s="871"/>
      <c r="ED4" s="871"/>
      <c r="EE4" s="871"/>
      <c r="EF4" s="871"/>
      <c r="EG4" s="871"/>
      <c r="EH4" s="871"/>
      <c r="EI4" s="871"/>
      <c r="EJ4" s="871"/>
      <c r="EK4" s="871"/>
      <c r="EL4" s="871"/>
      <c r="EM4" s="871"/>
      <c r="EN4" s="871"/>
      <c r="EO4" s="871"/>
      <c r="EP4" s="871"/>
      <c r="EQ4" s="871"/>
      <c r="ER4" s="871"/>
      <c r="ES4" s="871"/>
      <c r="ET4" s="871"/>
      <c r="EU4" s="871"/>
      <c r="EV4" s="871"/>
      <c r="EW4" s="871"/>
      <c r="EX4" s="871"/>
      <c r="EY4" s="894">
        <f aca="true" t="shared" si="17" ref="EY4:EY25">+Q4</f>
        <v>1942600</v>
      </c>
      <c r="EZ4" s="894"/>
      <c r="FA4" s="894">
        <f>+EY4</f>
        <v>1942600</v>
      </c>
      <c r="FB4" s="1089">
        <f>+BY4+DATI!GL4+DATI!FY4+DATI!FL4+DATI!EY4+DATI!EL4+DATI!DY4+DATI!DL4+DATI!CY4+DATI!CL4+DATI!BY4+CL4+CY4+DL4+DY4</f>
        <v>1794351.3765269788</v>
      </c>
      <c r="FC4" s="894">
        <f>+EY4-FB4</f>
        <v>148248.6234730212</v>
      </c>
      <c r="FD4" s="895">
        <f>FB4/EY4</f>
        <v>0.9236854609940177</v>
      </c>
      <c r="FE4" s="897">
        <f>T4</f>
        <v>1262690</v>
      </c>
      <c r="FF4" s="897"/>
      <c r="FG4" s="1097"/>
      <c r="FH4" s="1098"/>
      <c r="FI4" s="897">
        <f>+FE4</f>
        <v>1262690</v>
      </c>
      <c r="FJ4" s="897">
        <f>+BI4</f>
        <v>378807</v>
      </c>
      <c r="FK4" s="897">
        <f>+CA4+DATI!GN4+DATI!FN4+DATI!FA4+DATI!EN4+DATI!EA4+DATI!DN4+DATI!DA4+DATI!CN4+DATI!CA4</f>
        <v>787521.389856536</v>
      </c>
      <c r="FL4" s="1221">
        <f>+EX4+EK4+DX4+DK4+CX4+CK4+DATI!GX4+DATI!GK4+DATI!FX4+DATI!FK4+DATI!EX4+DATI!EK4+DATI!DX4+DATI!DK4+DATI!CX4+DATI!CK4</f>
        <v>667682.6226000001</v>
      </c>
      <c r="FM4" s="877">
        <f aca="true" t="shared" si="18" ref="FM4:FM26">+FK4+FJ4</f>
        <v>1166328.389856536</v>
      </c>
      <c r="FN4" s="877">
        <f>+BZ4+DATI!GM4+DATI!FZ4+DATI!FM4+DATI!EZ4+DATI!EM4+DATI!DZ4+DATI!DM4+DATI!CZ4+DATI!CM4+DATI!BZ4</f>
        <v>1166328.3947425361</v>
      </c>
      <c r="FO4" s="877">
        <f>+FE4-FM4</f>
        <v>96361.61014346406</v>
      </c>
      <c r="FP4" s="896">
        <f>+FN4/FE4</f>
        <v>0.9236854609940176</v>
      </c>
      <c r="FQ4" s="899"/>
      <c r="FR4" s="569">
        <v>38289</v>
      </c>
      <c r="FS4" s="453">
        <f>30+6+5+3</f>
        <v>44</v>
      </c>
      <c r="FT4" s="733">
        <f>FS4/12</f>
        <v>3.6666666666666665</v>
      </c>
      <c r="FU4" s="441">
        <f aca="true" t="shared" si="19" ref="FU4:FU26">FR4+(FS4*365/12)</f>
        <v>39627.333333333336</v>
      </c>
      <c r="FV4" s="1096" t="s">
        <v>434</v>
      </c>
      <c r="FW4" s="1161" t="s">
        <v>403</v>
      </c>
      <c r="FX4" s="1162"/>
      <c r="FY4" s="974">
        <v>1794351.37</v>
      </c>
      <c r="FZ4" s="974">
        <v>1166328.39</v>
      </c>
      <c r="GA4" s="974"/>
      <c r="GB4" s="974"/>
      <c r="GC4" s="974"/>
      <c r="GD4" s="974"/>
    </row>
    <row r="5" spans="1:186" s="474" customFormat="1" ht="12" customHeight="1">
      <c r="A5" s="421">
        <v>3</v>
      </c>
      <c r="B5" s="406" t="e">
        <f>IF(#REF!&gt;0,"si","no")</f>
        <v>#REF!</v>
      </c>
      <c r="C5" s="407">
        <v>8</v>
      </c>
      <c r="D5" s="477" t="s">
        <v>857</v>
      </c>
      <c r="E5" s="477" t="s">
        <v>858</v>
      </c>
      <c r="F5" s="477" t="s">
        <v>480</v>
      </c>
      <c r="G5" s="477" t="s">
        <v>408</v>
      </c>
      <c r="H5" s="820" t="s">
        <v>1182</v>
      </c>
      <c r="I5" s="526" t="s">
        <v>1404</v>
      </c>
      <c r="J5" s="411">
        <v>2422000</v>
      </c>
      <c r="K5" s="410">
        <v>64</v>
      </c>
      <c r="L5" s="410" t="str">
        <f t="shared" si="0"/>
        <v>è</v>
      </c>
      <c r="M5" s="410" t="s">
        <v>793</v>
      </c>
      <c r="N5" s="409">
        <v>274000</v>
      </c>
      <c r="O5" s="409">
        <f t="shared" si="1"/>
        <v>2148000</v>
      </c>
      <c r="P5" s="409">
        <f t="shared" si="2"/>
        <v>429600</v>
      </c>
      <c r="Q5" s="411">
        <v>2851600</v>
      </c>
      <c r="R5" s="411">
        <f t="shared" si="4"/>
        <v>1550080</v>
      </c>
      <c r="S5" s="409">
        <f t="shared" si="5"/>
        <v>274944</v>
      </c>
      <c r="T5" s="411">
        <f t="shared" si="6"/>
        <v>1825024</v>
      </c>
      <c r="U5" s="411">
        <f t="shared" si="12"/>
        <v>912512</v>
      </c>
      <c r="V5" s="411">
        <f t="shared" si="13"/>
        <v>638758.3999999999</v>
      </c>
      <c r="W5" s="409">
        <f t="shared" si="14"/>
        <v>1551270.4</v>
      </c>
      <c r="X5" s="411">
        <f t="shared" si="7"/>
        <v>273753.6</v>
      </c>
      <c r="Y5" s="411">
        <f t="shared" si="8"/>
        <v>871920</v>
      </c>
      <c r="Z5" s="411">
        <f t="shared" si="9"/>
        <v>1026576</v>
      </c>
      <c r="AA5" s="437" t="s">
        <v>794</v>
      </c>
      <c r="AB5" s="438" t="s">
        <v>795</v>
      </c>
      <c r="AC5" s="438" t="s">
        <v>859</v>
      </c>
      <c r="AD5" s="406" t="s">
        <v>797</v>
      </c>
      <c r="AE5" s="406" t="s">
        <v>798</v>
      </c>
      <c r="AF5" s="406" t="s">
        <v>860</v>
      </c>
      <c r="AG5" s="406">
        <v>228</v>
      </c>
      <c r="AH5" s="438" t="s">
        <v>861</v>
      </c>
      <c r="AI5" s="736" t="s">
        <v>862</v>
      </c>
      <c r="AJ5" s="440" t="s">
        <v>863</v>
      </c>
      <c r="AK5" s="410">
        <v>64</v>
      </c>
      <c r="AL5" s="410">
        <v>201</v>
      </c>
      <c r="AM5" s="437">
        <v>38146</v>
      </c>
      <c r="AN5" s="445">
        <v>38191</v>
      </c>
      <c r="AO5" s="406" t="s">
        <v>1011</v>
      </c>
      <c r="AP5" s="406">
        <v>1650</v>
      </c>
      <c r="AQ5" s="734">
        <v>15</v>
      </c>
      <c r="AR5" s="734">
        <v>14</v>
      </c>
      <c r="AS5" s="676" t="s">
        <v>187</v>
      </c>
      <c r="AT5" s="679" t="s">
        <v>1093</v>
      </c>
      <c r="AU5" s="472" t="s">
        <v>295</v>
      </c>
      <c r="AV5" s="473">
        <v>38331</v>
      </c>
      <c r="AW5" s="473">
        <v>38560</v>
      </c>
      <c r="AX5" s="445"/>
      <c r="AY5" s="474" t="s">
        <v>734</v>
      </c>
      <c r="AZ5" s="474" t="s">
        <v>1157</v>
      </c>
      <c r="BA5" s="474" t="s">
        <v>797</v>
      </c>
      <c r="BB5" s="474" t="s">
        <v>1155</v>
      </c>
      <c r="BC5" s="421" t="s">
        <v>1156</v>
      </c>
      <c r="BD5" s="474" t="s">
        <v>1048</v>
      </c>
      <c r="BF5" s="675" t="s">
        <v>1049</v>
      </c>
      <c r="BG5" s="473">
        <v>38324</v>
      </c>
      <c r="BH5" s="474" t="s">
        <v>1050</v>
      </c>
      <c r="BI5" s="411">
        <f t="shared" si="15"/>
        <v>547507.2</v>
      </c>
      <c r="BJ5" s="411">
        <f t="shared" si="16"/>
        <v>465381.11999999994</v>
      </c>
      <c r="BK5" s="479" t="s">
        <v>1104</v>
      </c>
      <c r="BL5" s="411">
        <f t="shared" si="10"/>
        <v>82126.07999999999</v>
      </c>
      <c r="BM5" s="479" t="s">
        <v>1104</v>
      </c>
      <c r="BN5" s="411">
        <f t="shared" si="11"/>
        <v>191627.51999999996</v>
      </c>
      <c r="BO5" s="411"/>
      <c r="BP5" s="411"/>
      <c r="BQ5" s="540">
        <v>676</v>
      </c>
      <c r="BR5" s="445">
        <v>38335</v>
      </c>
      <c r="BS5" s="421" t="s">
        <v>154</v>
      </c>
      <c r="BT5" s="540">
        <v>5600</v>
      </c>
      <c r="BU5" s="837" t="s">
        <v>354</v>
      </c>
      <c r="BV5" s="445">
        <v>38341</v>
      </c>
      <c r="BW5" s="443">
        <f>465381.12+82126.08</f>
        <v>547507.2</v>
      </c>
      <c r="BX5" s="877">
        <f>465381.12+82126.08</f>
        <v>547507.2</v>
      </c>
      <c r="BY5" s="870"/>
      <c r="BZ5" s="870"/>
      <c r="CA5" s="870"/>
      <c r="CB5" s="870"/>
      <c r="CC5" s="870"/>
      <c r="CD5" s="870"/>
      <c r="CE5" s="870"/>
      <c r="CF5" s="870"/>
      <c r="CG5" s="870"/>
      <c r="CH5" s="870"/>
      <c r="CI5" s="870"/>
      <c r="CJ5" s="870"/>
      <c r="CK5" s="870"/>
      <c r="CL5" s="870"/>
      <c r="CM5" s="870"/>
      <c r="CN5" s="870"/>
      <c r="CO5" s="870"/>
      <c r="CP5" s="870"/>
      <c r="CQ5" s="870"/>
      <c r="CR5" s="870"/>
      <c r="CS5" s="870"/>
      <c r="CT5" s="870"/>
      <c r="CU5" s="870"/>
      <c r="CV5" s="870"/>
      <c r="CW5" s="870"/>
      <c r="CX5" s="870"/>
      <c r="CY5" s="870"/>
      <c r="CZ5" s="870"/>
      <c r="DA5" s="870"/>
      <c r="DB5" s="870"/>
      <c r="DC5" s="870"/>
      <c r="DD5" s="870"/>
      <c r="DE5" s="870"/>
      <c r="DF5" s="870"/>
      <c r="DG5" s="870"/>
      <c r="DH5" s="870"/>
      <c r="DI5" s="870"/>
      <c r="DJ5" s="870"/>
      <c r="DK5" s="870"/>
      <c r="DL5" s="870"/>
      <c r="DM5" s="870"/>
      <c r="DN5" s="870"/>
      <c r="DO5" s="870"/>
      <c r="DP5" s="870"/>
      <c r="DQ5" s="870"/>
      <c r="DR5" s="870"/>
      <c r="DS5" s="870"/>
      <c r="DT5" s="870"/>
      <c r="DU5" s="870"/>
      <c r="DV5" s="870"/>
      <c r="DW5" s="870"/>
      <c r="DX5" s="870"/>
      <c r="DY5" s="870"/>
      <c r="DZ5" s="870"/>
      <c r="EA5" s="870"/>
      <c r="EB5" s="870"/>
      <c r="EC5" s="870"/>
      <c r="ED5" s="870"/>
      <c r="EE5" s="870"/>
      <c r="EF5" s="870"/>
      <c r="EG5" s="870"/>
      <c r="EH5" s="870"/>
      <c r="EI5" s="870"/>
      <c r="EJ5" s="870"/>
      <c r="EK5" s="870"/>
      <c r="EL5" s="870"/>
      <c r="EM5" s="870"/>
      <c r="EN5" s="870"/>
      <c r="EO5" s="870"/>
      <c r="EP5" s="870"/>
      <c r="EQ5" s="870"/>
      <c r="ER5" s="870"/>
      <c r="ES5" s="870"/>
      <c r="ET5" s="870"/>
      <c r="EU5" s="870"/>
      <c r="EV5" s="870"/>
      <c r="EW5" s="870"/>
      <c r="EX5" s="870"/>
      <c r="EY5" s="894">
        <f t="shared" si="17"/>
        <v>2851600</v>
      </c>
      <c r="EZ5" s="894"/>
      <c r="FA5" s="894">
        <f>+EY5</f>
        <v>2851600</v>
      </c>
      <c r="FB5" s="1089">
        <f>+BY5+DATI!GL5+DATI!FY5+DATI!FL5+DATI!EY5+DATI!EL5+DATI!DY5+DATI!DL5+DATI!CY5+DATI!CL5+DATI!BY5+CL5+CY5+DL5+DY5</f>
        <v>2794231.9779999997</v>
      </c>
      <c r="FC5" s="894">
        <f>+EY5-FB5</f>
        <v>57368.02200000035</v>
      </c>
      <c r="FD5" s="895">
        <f aca="true" t="shared" si="20" ref="FD5:FD27">FB5/EY5</f>
        <v>0.9798821636975732</v>
      </c>
      <c r="FE5" s="897">
        <f aca="true" t="shared" si="21" ref="FE5:FE26">T5</f>
        <v>1825024</v>
      </c>
      <c r="FF5" s="897">
        <v>8773.214437500108</v>
      </c>
      <c r="FG5" s="1097" t="s">
        <v>1454</v>
      </c>
      <c r="FH5" s="1098"/>
      <c r="FI5" s="897">
        <f>+FE5</f>
        <v>1825024</v>
      </c>
      <c r="FJ5" s="897">
        <f aca="true" t="shared" si="22" ref="FJ5:FJ13">+BX5</f>
        <v>547507.2</v>
      </c>
      <c r="FK5" s="897">
        <f>+CA5+DATI!GN5+DATI!FN5+DATI!FA5+DATI!EN5+DATI!EA5+DATI!DN5+DATI!DA5+DATI!CN5+DATI!CA5</f>
        <v>1268743.5855625</v>
      </c>
      <c r="FL5" s="1221">
        <f>+EX5+EK5+DX5+DK5+CX5+CK5+DATI!GX5+DATI!GK5+DATI!FX5+DATI!FK5+DATI!EX5+DATI!EK5+DATI!DX5+DATI!DK5+DATI!CX5+DATI!CK5</f>
        <v>1268743.5765625</v>
      </c>
      <c r="FM5" s="877">
        <f t="shared" si="18"/>
        <v>1816250.7855625</v>
      </c>
      <c r="FN5" s="877">
        <f>+BZ5+DATI!GM5+DATI!FZ5+DATI!FM5+DATI!EZ5+DATI!EM5+DATI!DZ5+DATI!DM5+DATI!CZ5+DATI!CM5+DATI!BZ5</f>
        <v>1816250.7834</v>
      </c>
      <c r="FO5" s="877">
        <f>+FE5-FM5</f>
        <v>8773.214437500108</v>
      </c>
      <c r="FP5" s="896">
        <f>+FN5/FE5</f>
        <v>0.9951928212450906</v>
      </c>
      <c r="FQ5" s="899"/>
      <c r="FR5" s="568">
        <v>38330</v>
      </c>
      <c r="FS5" s="571">
        <f>36+6+1.2</f>
        <v>43.2</v>
      </c>
      <c r="FT5" s="733">
        <f aca="true" t="shared" si="23" ref="FT5:FT26">FS5/12</f>
        <v>3.6</v>
      </c>
      <c r="FU5" s="441">
        <f t="shared" si="19"/>
        <v>39644</v>
      </c>
      <c r="FV5" s="1096" t="s">
        <v>434</v>
      </c>
      <c r="FW5" s="1161" t="s">
        <v>403</v>
      </c>
      <c r="FX5" s="1162"/>
      <c r="FY5" s="974">
        <v>2794231.98</v>
      </c>
      <c r="FZ5" s="974">
        <v>1816250.79</v>
      </c>
      <c r="GA5" s="974"/>
      <c r="GB5" s="974"/>
      <c r="GC5" s="974"/>
      <c r="GD5" s="974"/>
    </row>
    <row r="6" spans="1:186" s="474" customFormat="1" ht="12" customHeight="1">
      <c r="A6" s="421">
        <v>4</v>
      </c>
      <c r="B6" s="406" t="e">
        <f>IF(#REF!&gt;0,"si","no")</f>
        <v>#REF!</v>
      </c>
      <c r="C6" s="407">
        <v>9</v>
      </c>
      <c r="D6" s="477" t="s">
        <v>864</v>
      </c>
      <c r="E6" s="477" t="s">
        <v>865</v>
      </c>
      <c r="F6" s="477" t="s">
        <v>480</v>
      </c>
      <c r="G6" s="477" t="s">
        <v>1450</v>
      </c>
      <c r="H6" s="820" t="s">
        <v>1185</v>
      </c>
      <c r="I6" s="526" t="s">
        <v>486</v>
      </c>
      <c r="J6" s="411">
        <v>1757072</v>
      </c>
      <c r="K6" s="410">
        <v>65</v>
      </c>
      <c r="L6" s="410" t="str">
        <f t="shared" si="0"/>
        <v>è</v>
      </c>
      <c r="M6" s="410" t="s">
        <v>793</v>
      </c>
      <c r="N6" s="409">
        <v>496720</v>
      </c>
      <c r="O6" s="409">
        <f t="shared" si="1"/>
        <v>1260352</v>
      </c>
      <c r="P6" s="409">
        <f t="shared" si="2"/>
        <v>252070.40000000002</v>
      </c>
      <c r="Q6" s="411">
        <f t="shared" si="3"/>
        <v>2009142.4</v>
      </c>
      <c r="R6" s="411">
        <f t="shared" si="4"/>
        <v>1142096.8</v>
      </c>
      <c r="S6" s="409">
        <f t="shared" si="5"/>
        <v>163845.76</v>
      </c>
      <c r="T6" s="411">
        <f t="shared" si="6"/>
        <v>1305942.56</v>
      </c>
      <c r="U6" s="411">
        <f t="shared" si="12"/>
        <v>652971.28</v>
      </c>
      <c r="V6" s="411">
        <f t="shared" si="13"/>
        <v>457079.896</v>
      </c>
      <c r="W6" s="409">
        <f t="shared" si="14"/>
        <v>1110051.176</v>
      </c>
      <c r="X6" s="411">
        <f t="shared" si="7"/>
        <v>195891.384</v>
      </c>
      <c r="Y6" s="411">
        <f t="shared" si="8"/>
        <v>614975.2</v>
      </c>
      <c r="Z6" s="411">
        <f t="shared" si="9"/>
        <v>703199.8399999999</v>
      </c>
      <c r="AA6" s="437" t="s">
        <v>866</v>
      </c>
      <c r="AB6" s="438" t="s">
        <v>795</v>
      </c>
      <c r="AC6" s="438" t="s">
        <v>867</v>
      </c>
      <c r="AD6" s="406" t="s">
        <v>797</v>
      </c>
      <c r="AE6" s="406" t="s">
        <v>798</v>
      </c>
      <c r="AF6" s="406" t="s">
        <v>1445</v>
      </c>
      <c r="AG6" s="406" t="s">
        <v>1446</v>
      </c>
      <c r="AH6" s="406">
        <v>70123</v>
      </c>
      <c r="AI6" s="439" t="s">
        <v>923</v>
      </c>
      <c r="AJ6" s="440" t="s">
        <v>868</v>
      </c>
      <c r="AK6" s="410">
        <v>63</v>
      </c>
      <c r="AL6" s="410">
        <v>255</v>
      </c>
      <c r="AM6" s="437">
        <v>38167</v>
      </c>
      <c r="AN6" s="445">
        <v>38191</v>
      </c>
      <c r="AO6" s="406" t="s">
        <v>1012</v>
      </c>
      <c r="AP6" s="406">
        <v>1646</v>
      </c>
      <c r="AQ6" s="410">
        <v>9</v>
      </c>
      <c r="AR6" s="410">
        <v>8</v>
      </c>
      <c r="AS6" s="676" t="s">
        <v>166</v>
      </c>
      <c r="AT6" s="676" t="s">
        <v>166</v>
      </c>
      <c r="AU6" s="472" t="s">
        <v>295</v>
      </c>
      <c r="AV6" s="473">
        <v>38315</v>
      </c>
      <c r="AW6" s="473">
        <v>38286</v>
      </c>
      <c r="AX6" s="1082">
        <v>38284</v>
      </c>
      <c r="AY6" s="474" t="s">
        <v>487</v>
      </c>
      <c r="AZ6" s="474" t="s">
        <v>488</v>
      </c>
      <c r="BA6" s="474" t="s">
        <v>797</v>
      </c>
      <c r="BB6" s="474" t="s">
        <v>864</v>
      </c>
      <c r="BC6" s="439" t="s">
        <v>489</v>
      </c>
      <c r="BD6" s="474" t="s">
        <v>490</v>
      </c>
      <c r="BF6" s="440" t="s">
        <v>491</v>
      </c>
      <c r="BG6" s="473">
        <v>38307</v>
      </c>
      <c r="BH6" s="474" t="s">
        <v>492</v>
      </c>
      <c r="BI6" s="411">
        <f t="shared" si="15"/>
        <v>391782.768</v>
      </c>
      <c r="BJ6" s="411">
        <f t="shared" si="16"/>
        <v>333015.3528</v>
      </c>
      <c r="BK6" s="479" t="s">
        <v>1107</v>
      </c>
      <c r="BL6" s="411">
        <f t="shared" si="10"/>
        <v>58767.415199999996</v>
      </c>
      <c r="BM6" s="479" t="s">
        <v>1104</v>
      </c>
      <c r="BN6" s="411">
        <f t="shared" si="11"/>
        <v>137123.96879999997</v>
      </c>
      <c r="BO6" s="411"/>
      <c r="BP6" s="411"/>
      <c r="BQ6" s="540">
        <v>642</v>
      </c>
      <c r="BR6" s="445">
        <v>38320</v>
      </c>
      <c r="BS6" s="421" t="s">
        <v>154</v>
      </c>
      <c r="BT6" s="540">
        <v>5383</v>
      </c>
      <c r="BU6" s="837" t="s">
        <v>424</v>
      </c>
      <c r="BV6" s="473">
        <v>38336</v>
      </c>
      <c r="BW6" s="443">
        <f>333015.35+58767.42</f>
        <v>391782.76999999996</v>
      </c>
      <c r="BX6" s="877">
        <f>333015.35+58767.42</f>
        <v>391782.76999999996</v>
      </c>
      <c r="BY6" s="870"/>
      <c r="BZ6" s="870"/>
      <c r="CA6" s="870"/>
      <c r="CB6" s="870"/>
      <c r="CC6" s="870"/>
      <c r="CD6" s="870"/>
      <c r="CE6" s="870"/>
      <c r="CF6" s="870"/>
      <c r="CG6" s="870"/>
      <c r="CH6" s="870"/>
      <c r="CI6" s="870"/>
      <c r="CJ6" s="870"/>
      <c r="CK6" s="870"/>
      <c r="CL6" s="870"/>
      <c r="CM6" s="870"/>
      <c r="CN6" s="870"/>
      <c r="CO6" s="870"/>
      <c r="CP6" s="870"/>
      <c r="CQ6" s="870"/>
      <c r="CR6" s="870"/>
      <c r="CS6" s="870"/>
      <c r="CT6" s="870"/>
      <c r="CU6" s="870"/>
      <c r="CV6" s="870"/>
      <c r="CW6" s="870"/>
      <c r="CX6" s="870"/>
      <c r="CY6" s="870"/>
      <c r="CZ6" s="870"/>
      <c r="DA6" s="870"/>
      <c r="DB6" s="870"/>
      <c r="DC6" s="870"/>
      <c r="DD6" s="870"/>
      <c r="DE6" s="870"/>
      <c r="DF6" s="870"/>
      <c r="DG6" s="870"/>
      <c r="DH6" s="870"/>
      <c r="DI6" s="870"/>
      <c r="DJ6" s="870"/>
      <c r="DK6" s="870"/>
      <c r="DL6" s="870"/>
      <c r="DM6" s="870"/>
      <c r="DN6" s="870"/>
      <c r="DO6" s="870"/>
      <c r="DP6" s="870"/>
      <c r="DQ6" s="870"/>
      <c r="DR6" s="870"/>
      <c r="DS6" s="870"/>
      <c r="DT6" s="870"/>
      <c r="DU6" s="870"/>
      <c r="DV6" s="870"/>
      <c r="DW6" s="870"/>
      <c r="DX6" s="870"/>
      <c r="DY6" s="870"/>
      <c r="DZ6" s="870"/>
      <c r="EA6" s="870"/>
      <c r="EB6" s="870"/>
      <c r="EC6" s="870"/>
      <c r="ED6" s="870"/>
      <c r="EE6" s="870"/>
      <c r="EF6" s="870"/>
      <c r="EG6" s="870"/>
      <c r="EH6" s="870"/>
      <c r="EI6" s="870"/>
      <c r="EJ6" s="870"/>
      <c r="EK6" s="870"/>
      <c r="EL6" s="870"/>
      <c r="EM6" s="870"/>
      <c r="EN6" s="870"/>
      <c r="EO6" s="870"/>
      <c r="EP6" s="870"/>
      <c r="EQ6" s="870"/>
      <c r="ER6" s="870"/>
      <c r="ES6" s="870"/>
      <c r="ET6" s="870"/>
      <c r="EU6" s="870"/>
      <c r="EV6" s="870"/>
      <c r="EW6" s="870"/>
      <c r="EX6" s="870"/>
      <c r="EY6" s="894">
        <f t="shared" si="17"/>
        <v>2009142.4</v>
      </c>
      <c r="EZ6" s="894"/>
      <c r="FA6" s="894">
        <f>+EY6</f>
        <v>2009142.4</v>
      </c>
      <c r="FB6" s="1089">
        <f>+BY6+DATI!GL6+DATI!FY6+DATI!FL6+DATI!EY6+DATI!EL6+DATI!DY6+DATI!DL6+DATI!CY6+DATI!CL6+DATI!BY6+CL6+CY6+DL6+DY6</f>
        <v>1527481.36</v>
      </c>
      <c r="FC6" s="894">
        <f>+EY6-FB6</f>
        <v>481661.0399999998</v>
      </c>
      <c r="FD6" s="895">
        <f t="shared" si="20"/>
        <v>0.7602653550091821</v>
      </c>
      <c r="FE6" s="897">
        <f t="shared" si="21"/>
        <v>1305942.56</v>
      </c>
      <c r="FF6" s="1126"/>
      <c r="FG6" s="1097"/>
      <c r="FH6" s="1098"/>
      <c r="FI6" s="897">
        <f>+FE6</f>
        <v>1305942.56</v>
      </c>
      <c r="FJ6" s="897">
        <f t="shared" si="22"/>
        <v>391782.76999999996</v>
      </c>
      <c r="FK6" s="897">
        <f>+CA6+DATI!GN6+DATI!FN6+DATI!FA6+DATI!EN6+DATI!EA6+DATI!DN6+DATI!DA6+DATI!CN6+DATI!CA6</f>
        <v>601080.121</v>
      </c>
      <c r="FL6" s="1221">
        <f>+EX6+EK6+DX6+DK6+CX6+CK6+DATI!GX6+DATI!GK6+DATI!FX6+DATI!FK6+DATI!EX6+DATI!EK6+DATI!DX6+DATI!DK6+DATI!CX6+DATI!CK6</f>
        <v>555248.2509375</v>
      </c>
      <c r="FM6" s="877">
        <f t="shared" si="18"/>
        <v>992862.8910000001</v>
      </c>
      <c r="FN6" s="877">
        <f>+BZ6+DATI!GM6+DATI!FZ6+DATI!FM6+DATI!EZ6+DATI!EM6+DATI!DZ6+DATI!DM6+DATI!CZ6+DATI!CM6+DATI!BZ6</f>
        <v>992862.8940000001</v>
      </c>
      <c r="FO6" s="877">
        <f>+FE6-FM6</f>
        <v>313079.669</v>
      </c>
      <c r="FP6" s="896">
        <f>+FN6/FE6</f>
        <v>0.7602653626664867</v>
      </c>
      <c r="FQ6" s="899"/>
      <c r="FR6" s="568">
        <v>38201</v>
      </c>
      <c r="FS6" s="571">
        <f>42+5</f>
        <v>47</v>
      </c>
      <c r="FT6" s="733">
        <f t="shared" si="23"/>
        <v>3.9166666666666665</v>
      </c>
      <c r="FU6" s="441">
        <f t="shared" si="19"/>
        <v>39630.583333333336</v>
      </c>
      <c r="FV6" s="1096" t="s">
        <v>434</v>
      </c>
      <c r="FW6" s="1161" t="s">
        <v>403</v>
      </c>
      <c r="FX6" s="1162"/>
      <c r="FY6" s="974">
        <v>1527481.36</v>
      </c>
      <c r="FZ6" s="974">
        <v>992862.87</v>
      </c>
      <c r="GA6" s="974"/>
      <c r="GB6" s="974"/>
      <c r="GC6" s="974"/>
      <c r="GD6" s="974"/>
    </row>
    <row r="7" spans="1:186" s="474" customFormat="1" ht="12" customHeight="1">
      <c r="A7" s="421">
        <v>5</v>
      </c>
      <c r="B7" s="406" t="e">
        <f>IF(#REF!&gt;0,"si","no")</f>
        <v>#REF!</v>
      </c>
      <c r="C7" s="407">
        <v>10</v>
      </c>
      <c r="D7" s="477" t="s">
        <v>851</v>
      </c>
      <c r="E7" s="477" t="s">
        <v>852</v>
      </c>
      <c r="F7" s="477" t="s">
        <v>480</v>
      </c>
      <c r="G7" s="477" t="s">
        <v>438</v>
      </c>
      <c r="H7" s="820" t="s">
        <v>436</v>
      </c>
      <c r="I7" s="526" t="s">
        <v>1339</v>
      </c>
      <c r="J7" s="411">
        <v>719530</v>
      </c>
      <c r="K7" s="406">
        <v>65</v>
      </c>
      <c r="L7" s="410" t="str">
        <f t="shared" si="0"/>
        <v>è</v>
      </c>
      <c r="M7" s="410" t="s">
        <v>793</v>
      </c>
      <c r="N7" s="409">
        <v>0</v>
      </c>
      <c r="O7" s="409">
        <f t="shared" si="1"/>
        <v>719530</v>
      </c>
      <c r="P7" s="409">
        <f t="shared" si="2"/>
        <v>143906</v>
      </c>
      <c r="Q7" s="411">
        <f t="shared" si="3"/>
        <v>863436</v>
      </c>
      <c r="R7" s="411">
        <f t="shared" si="4"/>
        <v>467694.5</v>
      </c>
      <c r="S7" s="409">
        <f t="shared" si="5"/>
        <v>93538.9</v>
      </c>
      <c r="T7" s="411">
        <f t="shared" si="6"/>
        <v>561233.4</v>
      </c>
      <c r="U7" s="411">
        <f t="shared" si="12"/>
        <v>280616.7</v>
      </c>
      <c r="V7" s="411">
        <f t="shared" si="13"/>
        <v>196431.69</v>
      </c>
      <c r="W7" s="409">
        <f t="shared" si="14"/>
        <v>477048.39</v>
      </c>
      <c r="X7" s="411">
        <f t="shared" si="7"/>
        <v>84185.01</v>
      </c>
      <c r="Y7" s="411">
        <f t="shared" si="8"/>
        <v>251835.5</v>
      </c>
      <c r="Z7" s="411">
        <f t="shared" si="9"/>
        <v>302202.6</v>
      </c>
      <c r="AA7" s="437" t="s">
        <v>794</v>
      </c>
      <c r="AB7" s="438" t="s">
        <v>795</v>
      </c>
      <c r="AC7" s="437" t="s">
        <v>853</v>
      </c>
      <c r="AD7" s="406" t="s">
        <v>797</v>
      </c>
      <c r="AE7" s="406" t="s">
        <v>798</v>
      </c>
      <c r="AF7" s="406" t="s">
        <v>1310</v>
      </c>
      <c r="AG7" s="736">
        <v>253</v>
      </c>
      <c r="AH7" s="406">
        <v>70123</v>
      </c>
      <c r="AI7" s="406">
        <v>93007140721</v>
      </c>
      <c r="AJ7" s="690" t="s">
        <v>0</v>
      </c>
      <c r="AK7" s="406">
        <v>67</v>
      </c>
      <c r="AL7" s="406">
        <v>254</v>
      </c>
      <c r="AM7" s="445">
        <v>38166</v>
      </c>
      <c r="AN7" s="445">
        <v>38191</v>
      </c>
      <c r="AO7" s="406" t="s">
        <v>1045</v>
      </c>
      <c r="AP7" s="406">
        <v>1656</v>
      </c>
      <c r="AQ7" s="406">
        <v>28</v>
      </c>
      <c r="AR7" s="406">
        <v>23</v>
      </c>
      <c r="AS7" s="737" t="s">
        <v>415</v>
      </c>
      <c r="AT7" s="737" t="s">
        <v>415</v>
      </c>
      <c r="AU7" s="472" t="s">
        <v>295</v>
      </c>
      <c r="AV7" s="473">
        <v>38316</v>
      </c>
      <c r="AW7" s="473">
        <v>38294</v>
      </c>
      <c r="AX7" s="1082">
        <v>38316</v>
      </c>
      <c r="AY7" s="474" t="s">
        <v>1118</v>
      </c>
      <c r="AZ7" s="474" t="s">
        <v>1119</v>
      </c>
      <c r="BA7" s="474" t="s">
        <v>797</v>
      </c>
      <c r="BB7" s="474" t="s">
        <v>1120</v>
      </c>
      <c r="BC7" s="421" t="s">
        <v>1121</v>
      </c>
      <c r="BD7" s="474" t="s">
        <v>1122</v>
      </c>
      <c r="BE7" s="474" t="s">
        <v>485</v>
      </c>
      <c r="BF7" s="675" t="s">
        <v>1123</v>
      </c>
      <c r="BG7" s="473">
        <v>38315</v>
      </c>
      <c r="BH7" s="474" t="s">
        <v>1124</v>
      </c>
      <c r="BI7" s="411">
        <f t="shared" si="15"/>
        <v>168370.02</v>
      </c>
      <c r="BJ7" s="411">
        <f t="shared" si="16"/>
        <v>143114.517</v>
      </c>
      <c r="BK7" s="479" t="s">
        <v>1104</v>
      </c>
      <c r="BL7" s="411">
        <f t="shared" si="10"/>
        <v>25255.502999999997</v>
      </c>
      <c r="BM7" s="479" t="s">
        <v>1104</v>
      </c>
      <c r="BN7" s="411">
        <f t="shared" si="11"/>
        <v>58929.50699999999</v>
      </c>
      <c r="BO7" s="411"/>
      <c r="BP7" s="411"/>
      <c r="BQ7" s="540">
        <v>662</v>
      </c>
      <c r="BR7" s="445">
        <v>38324</v>
      </c>
      <c r="BS7" s="421" t="s">
        <v>154</v>
      </c>
      <c r="BT7" s="540">
        <v>5445</v>
      </c>
      <c r="BU7" s="741" t="s">
        <v>346</v>
      </c>
      <c r="BV7" s="445">
        <v>38338</v>
      </c>
      <c r="BW7" s="443">
        <f>143114.52+25255.5</f>
        <v>168370.02</v>
      </c>
      <c r="BX7" s="877">
        <f>143114.52+25255.5</f>
        <v>168370.02</v>
      </c>
      <c r="BY7" s="870"/>
      <c r="BZ7" s="870"/>
      <c r="CA7" s="870"/>
      <c r="CB7" s="870"/>
      <c r="CC7" s="870"/>
      <c r="CD7" s="870"/>
      <c r="CE7" s="870"/>
      <c r="CF7" s="870"/>
      <c r="CG7" s="870"/>
      <c r="CH7" s="870"/>
      <c r="CI7" s="870"/>
      <c r="CJ7" s="870"/>
      <c r="CK7" s="870"/>
      <c r="CL7" s="870"/>
      <c r="CM7" s="870"/>
      <c r="CN7" s="870"/>
      <c r="CO7" s="870"/>
      <c r="CP7" s="870"/>
      <c r="CQ7" s="870"/>
      <c r="CR7" s="870"/>
      <c r="CS7" s="870"/>
      <c r="CT7" s="870"/>
      <c r="CU7" s="870"/>
      <c r="CV7" s="870"/>
      <c r="CW7" s="870"/>
      <c r="CX7" s="870"/>
      <c r="CY7" s="870"/>
      <c r="CZ7" s="870"/>
      <c r="DA7" s="870"/>
      <c r="DB7" s="870"/>
      <c r="DC7" s="870"/>
      <c r="DD7" s="870"/>
      <c r="DE7" s="870"/>
      <c r="DF7" s="870"/>
      <c r="DG7" s="870"/>
      <c r="DH7" s="870"/>
      <c r="DI7" s="870"/>
      <c r="DJ7" s="870"/>
      <c r="DK7" s="870"/>
      <c r="DL7" s="870"/>
      <c r="DM7" s="870"/>
      <c r="DN7" s="870"/>
      <c r="DO7" s="870"/>
      <c r="DP7" s="870"/>
      <c r="DQ7" s="870"/>
      <c r="DR7" s="870"/>
      <c r="DS7" s="870"/>
      <c r="DT7" s="870"/>
      <c r="DU7" s="870"/>
      <c r="DV7" s="870"/>
      <c r="DW7" s="870"/>
      <c r="DX7" s="870"/>
      <c r="DY7" s="870"/>
      <c r="DZ7" s="870"/>
      <c r="EA7" s="870"/>
      <c r="EB7" s="870"/>
      <c r="EC7" s="870"/>
      <c r="ED7" s="870"/>
      <c r="EE7" s="870"/>
      <c r="EF7" s="870"/>
      <c r="EG7" s="870"/>
      <c r="EH7" s="870"/>
      <c r="EI7" s="870"/>
      <c r="EJ7" s="870"/>
      <c r="EK7" s="870"/>
      <c r="EL7" s="870"/>
      <c r="EM7" s="870"/>
      <c r="EN7" s="870"/>
      <c r="EO7" s="870"/>
      <c r="EP7" s="870"/>
      <c r="EQ7" s="870"/>
      <c r="ER7" s="870"/>
      <c r="ES7" s="870"/>
      <c r="ET7" s="870"/>
      <c r="EU7" s="870"/>
      <c r="EV7" s="870"/>
      <c r="EW7" s="870"/>
      <c r="EX7" s="870"/>
      <c r="EY7" s="894">
        <f t="shared" si="17"/>
        <v>863436</v>
      </c>
      <c r="EZ7" s="894">
        <f>+EY7-FA7</f>
        <v>199625.57999999996</v>
      </c>
      <c r="FA7" s="894">
        <v>663810.42</v>
      </c>
      <c r="FB7" s="1089">
        <f>+BY7+DATI!GL7+DATI!FY7+DATI!FL7+DATI!EY7+DATI!EL7+DATI!DY7+DATI!DL7+DATI!CY7+DATI!CL7+DATI!BY7+CL7+CY7+DL7+DY7</f>
        <v>663810.41</v>
      </c>
      <c r="FC7" s="894">
        <f>+FA7-FB7</f>
        <v>0.010000000009313226</v>
      </c>
      <c r="FD7" s="895">
        <f>FB7/FA7</f>
        <v>0.9999999849354579</v>
      </c>
      <c r="FE7" s="897">
        <f t="shared" si="21"/>
        <v>561233.4</v>
      </c>
      <c r="FF7" s="1092">
        <f>+EZ7*0.65</f>
        <v>129756.62699999998</v>
      </c>
      <c r="FG7" s="1097">
        <v>166</v>
      </c>
      <c r="FH7" s="1098">
        <v>39583</v>
      </c>
      <c r="FI7" s="897">
        <f>+FE7-FF7</f>
        <v>431476.77300000004</v>
      </c>
      <c r="FJ7" s="897">
        <f t="shared" si="22"/>
        <v>168370.02</v>
      </c>
      <c r="FK7" s="897">
        <f>+CA7+DATI!GN7+DATI!FN7+DATI!FA7+DATI!EN7+DATI!EA7+DATI!DN7+DATI!DA7+DATI!CN7+DATI!CA7</f>
        <v>263106.765</v>
      </c>
      <c r="FL7" s="1221">
        <f>+EX7+EK7+DX7+DK7+CX7+CK7+DATI!GX7+DATI!GK7+DATI!FX7+DATI!FK7+DATI!EX7+DATI!EK7+DATI!DX7+DATI!DK7+DATI!CX7+DATI!CK7</f>
        <v>171060.40375</v>
      </c>
      <c r="FM7" s="877">
        <f t="shared" si="18"/>
        <v>431476.78500000003</v>
      </c>
      <c r="FN7" s="877">
        <f>+BZ7+DATI!GM7+DATI!FZ7+DATI!FM7+DATI!EZ7+DATI!EM7+DATI!DZ7+DATI!DM7+DATI!CZ7+DATI!CM7+DATI!BZ7</f>
        <v>431476.7665</v>
      </c>
      <c r="FO7" s="877">
        <f>+FI7-FM7</f>
        <v>-0.011999999987892807</v>
      </c>
      <c r="FP7" s="896">
        <f>+FN7/FI7</f>
        <v>0.9999999849354579</v>
      </c>
      <c r="FQ7" s="899"/>
      <c r="FR7" s="568">
        <v>38231</v>
      </c>
      <c r="FS7" s="571">
        <f>30+6+9</f>
        <v>45</v>
      </c>
      <c r="FT7" s="733">
        <f t="shared" si="23"/>
        <v>3.75</v>
      </c>
      <c r="FU7" s="441">
        <f t="shared" si="19"/>
        <v>39599.75</v>
      </c>
      <c r="FV7" s="1096" t="s">
        <v>434</v>
      </c>
      <c r="FW7" s="1161">
        <v>168</v>
      </c>
      <c r="FX7" s="1162">
        <v>39898</v>
      </c>
      <c r="FY7" s="974">
        <v>663810.42</v>
      </c>
      <c r="FZ7" s="974">
        <v>431476.77</v>
      </c>
      <c r="GA7" s="974"/>
      <c r="GB7" s="974"/>
      <c r="GC7" s="974"/>
      <c r="GD7" s="974"/>
    </row>
    <row r="8" spans="1:186" s="1056" customFormat="1" ht="18.75" customHeight="1">
      <c r="A8" s="421">
        <v>6</v>
      </c>
      <c r="B8" s="1040" t="s">
        <v>177</v>
      </c>
      <c r="C8" s="407">
        <v>12</v>
      </c>
      <c r="D8" s="477" t="s">
        <v>907</v>
      </c>
      <c r="E8" s="690" t="s">
        <v>908</v>
      </c>
      <c r="F8" s="477" t="s">
        <v>480</v>
      </c>
      <c r="G8" s="408" t="s">
        <v>871</v>
      </c>
      <c r="H8" s="1080" t="s">
        <v>409</v>
      </c>
      <c r="I8" s="526" t="s">
        <v>1400</v>
      </c>
      <c r="J8" s="411">
        <v>264052.5</v>
      </c>
      <c r="K8" s="410">
        <v>50</v>
      </c>
      <c r="L8" s="410" t="str">
        <f t="shared" si="0"/>
        <v>non è</v>
      </c>
      <c r="M8" s="410" t="s">
        <v>809</v>
      </c>
      <c r="N8" s="409">
        <v>57595</v>
      </c>
      <c r="O8" s="409">
        <f t="shared" si="1"/>
        <v>206457.5</v>
      </c>
      <c r="P8" s="409">
        <f t="shared" si="2"/>
        <v>41291.5</v>
      </c>
      <c r="Q8" s="411">
        <f t="shared" si="3"/>
        <v>305344</v>
      </c>
      <c r="R8" s="411">
        <f t="shared" si="4"/>
        <v>132026.25</v>
      </c>
      <c r="S8" s="409">
        <f t="shared" si="5"/>
        <v>20645.75</v>
      </c>
      <c r="T8" s="411">
        <f t="shared" si="6"/>
        <v>152672</v>
      </c>
      <c r="U8" s="411">
        <f t="shared" si="12"/>
        <v>76336</v>
      </c>
      <c r="V8" s="411">
        <f t="shared" si="13"/>
        <v>53435.2</v>
      </c>
      <c r="W8" s="409">
        <f t="shared" si="14"/>
        <v>129771.2</v>
      </c>
      <c r="X8" s="411">
        <f t="shared" si="7"/>
        <v>22900.8</v>
      </c>
      <c r="Y8" s="411">
        <f t="shared" si="8"/>
        <v>132026.25</v>
      </c>
      <c r="Z8" s="411">
        <f t="shared" si="9"/>
        <v>152672</v>
      </c>
      <c r="AA8" s="437" t="s">
        <v>866</v>
      </c>
      <c r="AB8" s="438" t="s">
        <v>895</v>
      </c>
      <c r="AC8" s="439" t="s">
        <v>909</v>
      </c>
      <c r="AD8" s="421" t="s">
        <v>845</v>
      </c>
      <c r="AE8" s="421" t="s">
        <v>798</v>
      </c>
      <c r="AF8" s="421" t="s">
        <v>1158</v>
      </c>
      <c r="AG8" s="421">
        <v>50</v>
      </c>
      <c r="AH8" s="421">
        <v>70022</v>
      </c>
      <c r="AI8" s="439" t="s">
        <v>910</v>
      </c>
      <c r="AJ8" s="440" t="s">
        <v>70</v>
      </c>
      <c r="AK8" s="410">
        <v>51</v>
      </c>
      <c r="AL8" s="410">
        <v>332</v>
      </c>
      <c r="AM8" s="445">
        <v>38205</v>
      </c>
      <c r="AN8" s="441">
        <v>38246</v>
      </c>
      <c r="AO8" s="406" t="s">
        <v>175</v>
      </c>
      <c r="AP8" s="406">
        <v>1802</v>
      </c>
      <c r="AQ8" s="410">
        <v>38</v>
      </c>
      <c r="AR8" s="410">
        <v>33</v>
      </c>
      <c r="AS8" s="676" t="s">
        <v>1333</v>
      </c>
      <c r="AT8" s="676" t="s">
        <v>1333</v>
      </c>
      <c r="AU8" s="472" t="s">
        <v>295</v>
      </c>
      <c r="AV8" s="473">
        <v>38335</v>
      </c>
      <c r="AW8" s="473">
        <v>38310</v>
      </c>
      <c r="AX8" s="445">
        <v>38336</v>
      </c>
      <c r="AY8" s="474" t="s">
        <v>1159</v>
      </c>
      <c r="AZ8" s="474" t="s">
        <v>1160</v>
      </c>
      <c r="BA8" s="474" t="s">
        <v>1136</v>
      </c>
      <c r="BB8" s="474" t="s">
        <v>1161</v>
      </c>
      <c r="BC8" s="439" t="s">
        <v>1162</v>
      </c>
      <c r="BD8" s="474" t="s">
        <v>1163</v>
      </c>
      <c r="BE8" s="474"/>
      <c r="BF8" s="675" t="s">
        <v>1165</v>
      </c>
      <c r="BG8" s="473">
        <v>38336</v>
      </c>
      <c r="BH8" s="474" t="s">
        <v>1164</v>
      </c>
      <c r="BI8" s="411">
        <f t="shared" si="15"/>
        <v>45801.6</v>
      </c>
      <c r="BJ8" s="411">
        <f t="shared" si="16"/>
        <v>38931.36</v>
      </c>
      <c r="BK8" s="479" t="s">
        <v>1104</v>
      </c>
      <c r="BL8" s="411">
        <f t="shared" si="10"/>
        <v>6870.24</v>
      </c>
      <c r="BM8" s="479" t="s">
        <v>1104</v>
      </c>
      <c r="BN8" s="411">
        <f t="shared" si="11"/>
        <v>16030.559999999998</v>
      </c>
      <c r="BO8" s="411"/>
      <c r="BP8" s="411"/>
      <c r="BQ8" s="540">
        <v>681</v>
      </c>
      <c r="BR8" s="445">
        <v>38337</v>
      </c>
      <c r="BS8" s="421" t="s">
        <v>154</v>
      </c>
      <c r="BT8" s="540">
        <v>5652</v>
      </c>
      <c r="BU8" s="741" t="s">
        <v>1170</v>
      </c>
      <c r="BV8" s="445">
        <v>38342</v>
      </c>
      <c r="BW8" s="443">
        <f>38931.36+6870.24</f>
        <v>45801.6</v>
      </c>
      <c r="BX8" s="877">
        <f>38931.36+6870.24</f>
        <v>45801.6</v>
      </c>
      <c r="BY8" s="1062"/>
      <c r="BZ8" s="1062"/>
      <c r="CA8" s="1062"/>
      <c r="CB8" s="1062"/>
      <c r="CC8" s="1062"/>
      <c r="CD8" s="1062"/>
      <c r="CE8" s="1062"/>
      <c r="CF8" s="1062"/>
      <c r="CG8" s="1062"/>
      <c r="CH8" s="1062"/>
      <c r="CI8" s="1062"/>
      <c r="CJ8" s="1062"/>
      <c r="CK8" s="1062"/>
      <c r="CL8" s="1062"/>
      <c r="CM8" s="1062"/>
      <c r="CN8" s="1062"/>
      <c r="CO8" s="1062"/>
      <c r="CP8" s="1062"/>
      <c r="CQ8" s="1062"/>
      <c r="CR8" s="1062"/>
      <c r="CS8" s="1062"/>
      <c r="CT8" s="1062"/>
      <c r="CU8" s="1062"/>
      <c r="CV8" s="1062"/>
      <c r="CW8" s="1062"/>
      <c r="CX8" s="1062"/>
      <c r="CY8" s="1062"/>
      <c r="CZ8" s="1062"/>
      <c r="DA8" s="1062"/>
      <c r="DB8" s="1062"/>
      <c r="DC8" s="1062"/>
      <c r="DD8" s="1062"/>
      <c r="DE8" s="1062"/>
      <c r="DF8" s="1062"/>
      <c r="DG8" s="1062"/>
      <c r="DH8" s="1062"/>
      <c r="DI8" s="1062"/>
      <c r="DJ8" s="1062"/>
      <c r="DK8" s="1062"/>
      <c r="DL8" s="1062"/>
      <c r="DM8" s="1062"/>
      <c r="DN8" s="1062"/>
      <c r="DO8" s="1062"/>
      <c r="DP8" s="1062"/>
      <c r="DQ8" s="1062"/>
      <c r="DR8" s="1062"/>
      <c r="DS8" s="1062"/>
      <c r="DT8" s="1062"/>
      <c r="DU8" s="1062"/>
      <c r="DV8" s="1062"/>
      <c r="DW8" s="1062"/>
      <c r="DX8" s="1062"/>
      <c r="DY8" s="1062"/>
      <c r="DZ8" s="1062"/>
      <c r="EA8" s="1062"/>
      <c r="EB8" s="1062"/>
      <c r="EC8" s="1062"/>
      <c r="ED8" s="1062"/>
      <c r="EE8" s="1062"/>
      <c r="EF8" s="1062"/>
      <c r="EG8" s="1062"/>
      <c r="EH8" s="1062"/>
      <c r="EI8" s="1062"/>
      <c r="EJ8" s="1062"/>
      <c r="EK8" s="1062"/>
      <c r="EL8" s="1062"/>
      <c r="EM8" s="1062"/>
      <c r="EN8" s="1062"/>
      <c r="EO8" s="1062"/>
      <c r="EP8" s="1062"/>
      <c r="EQ8" s="1062"/>
      <c r="ER8" s="1062"/>
      <c r="ES8" s="1062"/>
      <c r="ET8" s="1062"/>
      <c r="EU8" s="1062"/>
      <c r="EV8" s="1062"/>
      <c r="EW8" s="1062"/>
      <c r="EX8" s="1062"/>
      <c r="EY8" s="894">
        <f t="shared" si="17"/>
        <v>305344</v>
      </c>
      <c r="EZ8" s="894">
        <f>+EY8-FA8</f>
        <v>69857.69</v>
      </c>
      <c r="FA8" s="894">
        <v>235486.31</v>
      </c>
      <c r="FB8" s="1089">
        <f>+BY8+DATI!GL8+DATI!FY8+DATI!FL8+DATI!EY8+DATI!EL8+DATI!DY8+DATI!DL8+DATI!CY8+DATI!CL8+DATI!BY8+CL8+CY8+DL8+DY8</f>
        <v>230472.995</v>
      </c>
      <c r="FC8" s="894">
        <f>+FA8-FB8</f>
        <v>5013.315000000002</v>
      </c>
      <c r="FD8" s="895">
        <f>+FB8/FA8</f>
        <v>0.9787108006405978</v>
      </c>
      <c r="FE8" s="897">
        <f t="shared" si="21"/>
        <v>152672</v>
      </c>
      <c r="FF8" s="1092">
        <f>+EZ8*0.5</f>
        <v>34928.845</v>
      </c>
      <c r="FG8" s="1097">
        <v>170</v>
      </c>
      <c r="FH8" s="1098">
        <v>39583</v>
      </c>
      <c r="FI8" s="897">
        <f>+FE8-FF8</f>
        <v>117743.155</v>
      </c>
      <c r="FJ8" s="897">
        <f t="shared" si="22"/>
        <v>45801.6</v>
      </c>
      <c r="FK8" s="897">
        <f>+CA8+DATI!GN8+DATI!FN8+DATI!FA8+DATI!EN8+DATI!EA8+DATI!DN8+DATI!DA8+DATI!CN8+DATI!CA8+CN8+DA8+DN8+EA8</f>
        <v>69434.908125</v>
      </c>
      <c r="FL8" s="1221">
        <f>+EX8+EK8+DX8+DK8+CX8+CK8+DATI!GX8+DATI!GK8+DATI!FX8+DATI!FK8+DATI!EX8+DATI!EK8+DATI!DX8+DATI!DK8+DATI!CX8+DATI!CK8</f>
        <v>69434.910625</v>
      </c>
      <c r="FM8" s="877">
        <f t="shared" si="18"/>
        <v>115236.508125</v>
      </c>
      <c r="FN8" s="877">
        <f>+BZ8+DATI!GM8+DATI!FZ8+DATI!FM8+DATI!EZ8+DATI!EM8+DATI!DZ8+DATI!DM8+DATI!CZ8+DATI!CM8+DATI!BZ8</f>
        <v>115236.4975</v>
      </c>
      <c r="FO8" s="877">
        <f>+FI8-FM8</f>
        <v>2506.646875000006</v>
      </c>
      <c r="FP8" s="896">
        <f>+FN8/FI8</f>
        <v>0.9787108006405978</v>
      </c>
      <c r="FQ8" s="899"/>
      <c r="FR8" s="1090">
        <v>38293</v>
      </c>
      <c r="FS8" s="571">
        <f>30+6</f>
        <v>36</v>
      </c>
      <c r="FT8" s="733">
        <f t="shared" si="23"/>
        <v>3</v>
      </c>
      <c r="FU8" s="441">
        <f t="shared" si="19"/>
        <v>39388</v>
      </c>
      <c r="FV8" s="1096" t="s">
        <v>434</v>
      </c>
      <c r="FW8" s="1161" t="s">
        <v>403</v>
      </c>
      <c r="FX8" s="1162"/>
      <c r="FY8" s="974">
        <v>230473</v>
      </c>
      <c r="FZ8" s="974">
        <v>115236.5</v>
      </c>
      <c r="GA8" s="1069"/>
      <c r="GB8" s="1069"/>
      <c r="GC8" s="1069"/>
      <c r="GD8" s="1069"/>
    </row>
    <row r="9" spans="1:186" s="474" customFormat="1" ht="12" customHeight="1">
      <c r="A9" s="738">
        <v>7</v>
      </c>
      <c r="B9" s="406" t="e">
        <f>IF(#REF!&gt;0,"si","no")</f>
        <v>#REF!</v>
      </c>
      <c r="C9" s="739">
        <v>14</v>
      </c>
      <c r="D9" s="477" t="s">
        <v>869</v>
      </c>
      <c r="E9" s="477" t="s">
        <v>483</v>
      </c>
      <c r="F9" s="477" t="s">
        <v>480</v>
      </c>
      <c r="G9" s="477" t="s">
        <v>1449</v>
      </c>
      <c r="H9" s="820" t="s">
        <v>1177</v>
      </c>
      <c r="I9" s="526" t="s">
        <v>1126</v>
      </c>
      <c r="J9" s="411">
        <v>3538950</v>
      </c>
      <c r="K9" s="410">
        <v>65</v>
      </c>
      <c r="L9" s="410" t="str">
        <f t="shared" si="0"/>
        <v>è</v>
      </c>
      <c r="M9" s="410" t="s">
        <v>793</v>
      </c>
      <c r="N9" s="409">
        <v>902000</v>
      </c>
      <c r="O9" s="409">
        <f t="shared" si="1"/>
        <v>2636950</v>
      </c>
      <c r="P9" s="409">
        <f t="shared" si="2"/>
        <v>527390</v>
      </c>
      <c r="Q9" s="411">
        <f t="shared" si="3"/>
        <v>4066340</v>
      </c>
      <c r="R9" s="411">
        <f t="shared" si="4"/>
        <v>2300317.5</v>
      </c>
      <c r="S9" s="409">
        <f t="shared" si="5"/>
        <v>342803.5</v>
      </c>
      <c r="T9" s="411">
        <f t="shared" si="6"/>
        <v>2500000</v>
      </c>
      <c r="U9" s="411">
        <f t="shared" si="12"/>
        <v>1250000</v>
      </c>
      <c r="V9" s="411">
        <f t="shared" si="13"/>
        <v>875000</v>
      </c>
      <c r="W9" s="409">
        <f t="shared" si="14"/>
        <v>2125000</v>
      </c>
      <c r="X9" s="411">
        <f t="shared" si="7"/>
        <v>375000</v>
      </c>
      <c r="Y9" s="411">
        <f t="shared" si="8"/>
        <v>1238632.5</v>
      </c>
      <c r="Z9" s="411">
        <f t="shared" si="9"/>
        <v>1566340</v>
      </c>
      <c r="AA9" s="437" t="s">
        <v>794</v>
      </c>
      <c r="AB9" s="438" t="s">
        <v>795</v>
      </c>
      <c r="AC9" s="438" t="s">
        <v>870</v>
      </c>
      <c r="AD9" s="406" t="s">
        <v>797</v>
      </c>
      <c r="AE9" s="406" t="s">
        <v>798</v>
      </c>
      <c r="AF9" s="406" t="s">
        <v>872</v>
      </c>
      <c r="AG9" s="736" t="s">
        <v>873</v>
      </c>
      <c r="AH9" s="406">
        <v>70121</v>
      </c>
      <c r="AI9" s="406">
        <v>93002230725</v>
      </c>
      <c r="AJ9" s="440" t="s">
        <v>876</v>
      </c>
      <c r="AK9" s="410">
        <v>63</v>
      </c>
      <c r="AL9" s="410">
        <v>203</v>
      </c>
      <c r="AM9" s="437">
        <v>38146</v>
      </c>
      <c r="AN9" s="445">
        <v>38191</v>
      </c>
      <c r="AO9" s="406" t="s">
        <v>1008</v>
      </c>
      <c r="AP9" s="406">
        <v>1649</v>
      </c>
      <c r="AQ9" s="734" t="s">
        <v>75</v>
      </c>
      <c r="AR9" s="410">
        <v>13</v>
      </c>
      <c r="AS9" s="676" t="s">
        <v>164</v>
      </c>
      <c r="AT9" s="676" t="s">
        <v>164</v>
      </c>
      <c r="AU9" s="472" t="s">
        <v>295</v>
      </c>
      <c r="AV9" s="473">
        <v>38316</v>
      </c>
      <c r="AW9" s="473">
        <v>38301</v>
      </c>
      <c r="AX9" s="1082">
        <v>38324</v>
      </c>
      <c r="AY9" s="474" t="s">
        <v>650</v>
      </c>
      <c r="AZ9" s="474" t="s">
        <v>143</v>
      </c>
      <c r="BA9" s="474" t="s">
        <v>797</v>
      </c>
      <c r="BB9" s="474" t="s">
        <v>391</v>
      </c>
      <c r="BC9" s="439" t="s">
        <v>144</v>
      </c>
      <c r="BD9" s="474" t="s">
        <v>145</v>
      </c>
      <c r="BE9" s="474" t="s">
        <v>443</v>
      </c>
      <c r="BF9" s="440" t="s">
        <v>1140</v>
      </c>
      <c r="BG9" s="473">
        <v>38320</v>
      </c>
      <c r="BH9" s="474" t="s">
        <v>1113</v>
      </c>
      <c r="BI9" s="411">
        <f t="shared" si="15"/>
        <v>750000</v>
      </c>
      <c r="BJ9" s="411">
        <f t="shared" si="16"/>
        <v>637500</v>
      </c>
      <c r="BK9" s="479" t="s">
        <v>1128</v>
      </c>
      <c r="BL9" s="411">
        <f t="shared" si="10"/>
        <v>112500</v>
      </c>
      <c r="BM9" s="479" t="s">
        <v>1104</v>
      </c>
      <c r="BN9" s="411">
        <f t="shared" si="11"/>
        <v>262500</v>
      </c>
      <c r="BO9" s="411">
        <f>+BN9*0.04</f>
        <v>10500</v>
      </c>
      <c r="BP9" s="411">
        <f>+BL9*0.04</f>
        <v>4500</v>
      </c>
      <c r="BQ9" s="540">
        <v>663</v>
      </c>
      <c r="BR9" s="445">
        <v>38330</v>
      </c>
      <c r="BS9" s="421" t="s">
        <v>295</v>
      </c>
      <c r="BT9" s="740" t="s">
        <v>392</v>
      </c>
      <c r="BU9" s="837" t="s">
        <v>349</v>
      </c>
      <c r="BV9" s="473">
        <v>38341</v>
      </c>
      <c r="BW9" s="443">
        <f>637500+112500</f>
        <v>750000</v>
      </c>
      <c r="BX9" s="877">
        <f>637500+112500</f>
        <v>750000</v>
      </c>
      <c r="BY9" s="870"/>
      <c r="BZ9" s="870"/>
      <c r="CA9" s="870"/>
      <c r="CB9" s="870"/>
      <c r="CC9" s="870"/>
      <c r="CD9" s="870"/>
      <c r="CE9" s="870"/>
      <c r="CF9" s="870"/>
      <c r="CG9" s="870"/>
      <c r="CH9" s="870"/>
      <c r="CI9" s="870"/>
      <c r="CJ9" s="870"/>
      <c r="CK9" s="870"/>
      <c r="CL9" s="870"/>
      <c r="CM9" s="870"/>
      <c r="CN9" s="870"/>
      <c r="CO9" s="870"/>
      <c r="CP9" s="870"/>
      <c r="CQ9" s="870"/>
      <c r="CR9" s="870"/>
      <c r="CS9" s="870"/>
      <c r="CT9" s="870"/>
      <c r="CU9" s="870"/>
      <c r="CV9" s="870"/>
      <c r="CW9" s="870"/>
      <c r="CX9" s="870"/>
      <c r="CY9" s="870"/>
      <c r="CZ9" s="870"/>
      <c r="DA9" s="870"/>
      <c r="DB9" s="870"/>
      <c r="DC9" s="870"/>
      <c r="DD9" s="870"/>
      <c r="DE9" s="870"/>
      <c r="DF9" s="870"/>
      <c r="DG9" s="870"/>
      <c r="DH9" s="870"/>
      <c r="DI9" s="870"/>
      <c r="DJ9" s="870"/>
      <c r="DK9" s="870"/>
      <c r="DL9" s="870"/>
      <c r="DM9" s="870"/>
      <c r="DN9" s="870"/>
      <c r="DO9" s="870"/>
      <c r="DP9" s="870"/>
      <c r="DQ9" s="870"/>
      <c r="DR9" s="870"/>
      <c r="DS9" s="870"/>
      <c r="DT9" s="870"/>
      <c r="DU9" s="870"/>
      <c r="DV9" s="870"/>
      <c r="DW9" s="870"/>
      <c r="DX9" s="870"/>
      <c r="DY9" s="870"/>
      <c r="DZ9" s="870"/>
      <c r="EA9" s="870"/>
      <c r="EB9" s="870"/>
      <c r="EC9" s="870"/>
      <c r="ED9" s="870"/>
      <c r="EE9" s="870"/>
      <c r="EF9" s="870"/>
      <c r="EG9" s="870"/>
      <c r="EH9" s="870"/>
      <c r="EI9" s="870"/>
      <c r="EJ9" s="870"/>
      <c r="EK9" s="870"/>
      <c r="EL9" s="870"/>
      <c r="EM9" s="870"/>
      <c r="EN9" s="870"/>
      <c r="EO9" s="870"/>
      <c r="EP9" s="870"/>
      <c r="EQ9" s="870"/>
      <c r="ER9" s="870"/>
      <c r="ES9" s="870"/>
      <c r="ET9" s="870"/>
      <c r="EU9" s="870"/>
      <c r="EV9" s="870"/>
      <c r="EW9" s="870"/>
      <c r="EX9" s="870"/>
      <c r="EY9" s="894">
        <f t="shared" si="17"/>
        <v>4066340</v>
      </c>
      <c r="EZ9" s="894"/>
      <c r="FA9" s="894">
        <f>+EY9</f>
        <v>4066340</v>
      </c>
      <c r="FB9" s="1089">
        <f>+BY9+DATI!GL9+DATI!FY9+DATI!FL9+DATI!EY9+DATI!EL9+DATI!DY9+DATI!DL9+DATI!CY9+DATI!CL9+DATI!BY9+CL9+CY9+DL9+DY9</f>
        <v>3757071.364244872</v>
      </c>
      <c r="FC9" s="894">
        <f>+EY9-FB9</f>
        <v>309268.6357551282</v>
      </c>
      <c r="FD9" s="895">
        <f t="shared" si="20"/>
        <v>0.9239442260718168</v>
      </c>
      <c r="FE9" s="897">
        <f t="shared" si="21"/>
        <v>2500000</v>
      </c>
      <c r="FF9" s="897"/>
      <c r="FG9" s="1097"/>
      <c r="FH9" s="1098"/>
      <c r="FI9" s="897">
        <f>+FE9</f>
        <v>2500000</v>
      </c>
      <c r="FJ9" s="897">
        <f t="shared" si="22"/>
        <v>750000</v>
      </c>
      <c r="FK9" s="897">
        <f>+CA9+DATI!GN9+DATI!FN9+DATI!FA9+DATI!EN9+DATI!EA9+DATI!DN9+DATI!DA9+DATI!CN9+DATI!CA9+CN9+DA9+DN9+EA9</f>
        <v>1692096.3778216667</v>
      </c>
      <c r="FL9" s="1221">
        <f>+EX9+EK9+DX9+DK9+CX9+CK9+DATI!GX9+DATI!GK9+DATI!FX9+DATI!FK9+DATI!EX9+DATI!EK9+DATI!DX9+DATI!DK9+DATI!CX9+DATI!CK9</f>
        <v>1437620.4283750001</v>
      </c>
      <c r="FM9" s="877">
        <f t="shared" si="18"/>
        <v>2442096.3778216667</v>
      </c>
      <c r="FN9" s="877">
        <f>+BZ9+DATI!GM9+DATI!FZ9+DATI!FM9+DATI!EZ9+DATI!EM9+DATI!DZ9+DATI!DM9+DATI!CZ9+DATI!CM9+DATI!BZ9</f>
        <v>2442096.3867591666</v>
      </c>
      <c r="FO9" s="877">
        <f>+FE9-FM9</f>
        <v>57903.622178333346</v>
      </c>
      <c r="FP9" s="896">
        <f>+FN9/FE9</f>
        <v>0.9768385547036667</v>
      </c>
      <c r="FQ9" s="899"/>
      <c r="FR9" s="568">
        <v>37935</v>
      </c>
      <c r="FS9" s="571">
        <f>36+6+6+2</f>
        <v>50</v>
      </c>
      <c r="FT9" s="733">
        <f t="shared" si="23"/>
        <v>4.166666666666667</v>
      </c>
      <c r="FU9" s="441">
        <f t="shared" si="19"/>
        <v>39455.833333333336</v>
      </c>
      <c r="FV9" s="1096" t="s">
        <v>434</v>
      </c>
      <c r="FW9" s="1161" t="s">
        <v>403</v>
      </c>
      <c r="FX9" s="1162"/>
      <c r="FY9" s="974">
        <v>3757071.34</v>
      </c>
      <c r="FZ9" s="974">
        <v>2442096.37</v>
      </c>
      <c r="GA9" s="974"/>
      <c r="GB9" s="974"/>
      <c r="GC9" s="974"/>
      <c r="GD9" s="974"/>
    </row>
    <row r="10" spans="1:186" s="155" customFormat="1" ht="12" customHeight="1">
      <c r="A10" s="421">
        <v>8</v>
      </c>
      <c r="B10" s="406" t="e">
        <f>IF(#REF!&gt;0,"si","no")</f>
        <v>#REF!</v>
      </c>
      <c r="C10" s="407">
        <v>15</v>
      </c>
      <c r="D10" s="477" t="s">
        <v>1142</v>
      </c>
      <c r="E10" s="477" t="s">
        <v>878</v>
      </c>
      <c r="F10" s="477" t="s">
        <v>480</v>
      </c>
      <c r="G10" s="477" t="s">
        <v>92</v>
      </c>
      <c r="H10" s="820" t="s">
        <v>1178</v>
      </c>
      <c r="I10" s="526" t="s">
        <v>1112</v>
      </c>
      <c r="J10" s="411">
        <v>996480</v>
      </c>
      <c r="K10" s="410">
        <v>65</v>
      </c>
      <c r="L10" s="410" t="str">
        <f t="shared" si="0"/>
        <v>è</v>
      </c>
      <c r="M10" s="410" t="s">
        <v>793</v>
      </c>
      <c r="N10" s="409">
        <v>182160</v>
      </c>
      <c r="O10" s="409">
        <f t="shared" si="1"/>
        <v>814320</v>
      </c>
      <c r="P10" s="409">
        <f t="shared" si="2"/>
        <v>162864</v>
      </c>
      <c r="Q10" s="411">
        <f t="shared" si="3"/>
        <v>1159344</v>
      </c>
      <c r="R10" s="411">
        <f t="shared" si="4"/>
        <v>647712</v>
      </c>
      <c r="S10" s="409">
        <f t="shared" si="5"/>
        <v>105861.6</v>
      </c>
      <c r="T10" s="411">
        <v>753573.6</v>
      </c>
      <c r="U10" s="411">
        <f t="shared" si="12"/>
        <v>376786.8</v>
      </c>
      <c r="V10" s="411">
        <f t="shared" si="13"/>
        <v>263750.75999999995</v>
      </c>
      <c r="W10" s="409">
        <f t="shared" si="14"/>
        <v>640537.5599999999</v>
      </c>
      <c r="X10" s="411">
        <f t="shared" si="7"/>
        <v>113036.04</v>
      </c>
      <c r="Y10" s="411">
        <f t="shared" si="8"/>
        <v>348768</v>
      </c>
      <c r="Z10" s="411">
        <f t="shared" si="9"/>
        <v>405770.4</v>
      </c>
      <c r="AA10" s="412" t="s">
        <v>794</v>
      </c>
      <c r="AB10" s="413" t="s">
        <v>795</v>
      </c>
      <c r="AC10" s="413" t="s">
        <v>879</v>
      </c>
      <c r="AD10" s="213" t="s">
        <v>797</v>
      </c>
      <c r="AE10" s="213" t="s">
        <v>798</v>
      </c>
      <c r="AF10" s="213" t="s">
        <v>880</v>
      </c>
      <c r="AG10" s="213">
        <v>11</v>
      </c>
      <c r="AH10" s="213">
        <v>70121</v>
      </c>
      <c r="AI10" s="432" t="s">
        <v>1021</v>
      </c>
      <c r="AJ10" s="414" t="s">
        <v>881</v>
      </c>
      <c r="AK10" s="415">
        <v>62</v>
      </c>
      <c r="AL10" s="415">
        <v>267</v>
      </c>
      <c r="AM10" s="420">
        <v>38177</v>
      </c>
      <c r="AN10" s="420">
        <v>38238</v>
      </c>
      <c r="AO10" s="406" t="s">
        <v>69</v>
      </c>
      <c r="AP10" s="406">
        <v>1683</v>
      </c>
      <c r="AQ10" s="415">
        <v>31</v>
      </c>
      <c r="AR10" s="415">
        <v>26</v>
      </c>
      <c r="AS10" s="677" t="s">
        <v>142</v>
      </c>
      <c r="AT10" s="677" t="s">
        <v>142</v>
      </c>
      <c r="AU10" s="470" t="s">
        <v>295</v>
      </c>
      <c r="AV10" s="471">
        <v>38320</v>
      </c>
      <c r="AW10" s="471">
        <v>38309</v>
      </c>
      <c r="AX10" s="1083">
        <v>38320</v>
      </c>
      <c r="AY10" s="155" t="s">
        <v>1113</v>
      </c>
      <c r="AZ10" s="155" t="s">
        <v>143</v>
      </c>
      <c r="BA10" s="155" t="s">
        <v>1114</v>
      </c>
      <c r="BB10" s="155" t="s">
        <v>1115</v>
      </c>
      <c r="BC10" s="405">
        <v>35837</v>
      </c>
      <c r="BD10" s="155" t="s">
        <v>1116</v>
      </c>
      <c r="BF10" s="414" t="s">
        <v>1141</v>
      </c>
      <c r="BG10" s="471">
        <v>38320</v>
      </c>
      <c r="BH10" s="155" t="s">
        <v>1113</v>
      </c>
      <c r="BI10" s="411">
        <f t="shared" si="15"/>
        <v>226072.08</v>
      </c>
      <c r="BJ10" s="411">
        <f t="shared" si="16"/>
        <v>192161.26799999998</v>
      </c>
      <c r="BK10" s="479" t="s">
        <v>1104</v>
      </c>
      <c r="BL10" s="411">
        <f t="shared" si="10"/>
        <v>33910.812</v>
      </c>
      <c r="BM10" s="419">
        <v>2003</v>
      </c>
      <c r="BN10" s="411">
        <f t="shared" si="11"/>
        <v>79125.22799999999</v>
      </c>
      <c r="BO10" s="411">
        <f>+BN10*0.04</f>
        <v>3165.0091199999997</v>
      </c>
      <c r="BP10" s="411">
        <f>+BL10*0.04</f>
        <v>1356.43248</v>
      </c>
      <c r="BQ10" s="539">
        <v>664</v>
      </c>
      <c r="BR10" s="416">
        <v>38330</v>
      </c>
      <c r="BS10" s="405" t="s">
        <v>295</v>
      </c>
      <c r="BT10" s="711" t="s">
        <v>393</v>
      </c>
      <c r="BU10" s="838" t="s">
        <v>350</v>
      </c>
      <c r="BV10" s="435">
        <v>38341</v>
      </c>
      <c r="BW10" s="430">
        <f>192161.27+33910.81</f>
        <v>226072.08</v>
      </c>
      <c r="BX10" s="878">
        <f>192161.27+33910.81</f>
        <v>226072.08</v>
      </c>
      <c r="BY10" s="872"/>
      <c r="BZ10" s="872"/>
      <c r="CA10" s="872"/>
      <c r="CB10" s="872"/>
      <c r="CC10" s="872"/>
      <c r="CD10" s="872"/>
      <c r="CE10" s="872"/>
      <c r="CF10" s="872"/>
      <c r="CG10" s="872"/>
      <c r="CH10" s="872"/>
      <c r="CI10" s="872"/>
      <c r="CJ10" s="872"/>
      <c r="CK10" s="872"/>
      <c r="CL10" s="872"/>
      <c r="CM10" s="872"/>
      <c r="CN10" s="872"/>
      <c r="CO10" s="872"/>
      <c r="CP10" s="872"/>
      <c r="CQ10" s="872"/>
      <c r="CR10" s="872"/>
      <c r="CS10" s="872"/>
      <c r="CT10" s="872"/>
      <c r="CU10" s="872"/>
      <c r="CV10" s="872"/>
      <c r="CW10" s="872"/>
      <c r="CX10" s="872"/>
      <c r="CY10" s="872"/>
      <c r="CZ10" s="872"/>
      <c r="DA10" s="872"/>
      <c r="DB10" s="872"/>
      <c r="DC10" s="872"/>
      <c r="DD10" s="872"/>
      <c r="DE10" s="872"/>
      <c r="DF10" s="872"/>
      <c r="DG10" s="872"/>
      <c r="DH10" s="872"/>
      <c r="DI10" s="872"/>
      <c r="DJ10" s="872"/>
      <c r="DK10" s="872"/>
      <c r="DL10" s="872"/>
      <c r="DM10" s="872"/>
      <c r="DN10" s="872"/>
      <c r="DO10" s="872"/>
      <c r="DP10" s="872"/>
      <c r="DQ10" s="872"/>
      <c r="DR10" s="872"/>
      <c r="DS10" s="872"/>
      <c r="DT10" s="872"/>
      <c r="DU10" s="872"/>
      <c r="DV10" s="872"/>
      <c r="DW10" s="872"/>
      <c r="DX10" s="872"/>
      <c r="DY10" s="872"/>
      <c r="DZ10" s="872"/>
      <c r="EA10" s="872"/>
      <c r="EB10" s="872"/>
      <c r="EC10" s="872"/>
      <c r="ED10" s="872"/>
      <c r="EE10" s="872"/>
      <c r="EF10" s="872"/>
      <c r="EG10" s="872"/>
      <c r="EH10" s="872"/>
      <c r="EI10" s="872"/>
      <c r="EJ10" s="872"/>
      <c r="EK10" s="872"/>
      <c r="EL10" s="872"/>
      <c r="EM10" s="872"/>
      <c r="EN10" s="872"/>
      <c r="EO10" s="872"/>
      <c r="EP10" s="872"/>
      <c r="EQ10" s="872"/>
      <c r="ER10" s="872"/>
      <c r="ES10" s="872"/>
      <c r="ET10" s="872"/>
      <c r="EU10" s="872"/>
      <c r="EV10" s="872"/>
      <c r="EW10" s="872"/>
      <c r="EX10" s="872"/>
      <c r="EY10" s="894">
        <f t="shared" si="17"/>
        <v>1159344</v>
      </c>
      <c r="EZ10" s="894"/>
      <c r="FA10" s="894">
        <f>+EY10</f>
        <v>1159344</v>
      </c>
      <c r="FB10" s="1089">
        <f>+BY10+DATI!GL10+DATI!FY10+DATI!FL10+DATI!EY10+DATI!EL10+DATI!DY10+DATI!DL10+DATI!CY10+DATI!CL10+DATI!BY10+CL10+CY10+DL10+DY10</f>
        <v>1159059.923076923</v>
      </c>
      <c r="FC10" s="894">
        <f>+EY10-FB10</f>
        <v>284.0769230769947</v>
      </c>
      <c r="FD10" s="895">
        <f t="shared" si="20"/>
        <v>0.9997549675307096</v>
      </c>
      <c r="FE10" s="897">
        <f t="shared" si="21"/>
        <v>753573.6</v>
      </c>
      <c r="FF10" s="897"/>
      <c r="FG10" s="1097"/>
      <c r="FH10" s="1098"/>
      <c r="FI10" s="897">
        <f>+FE10</f>
        <v>753573.6</v>
      </c>
      <c r="FJ10" s="897">
        <f t="shared" si="22"/>
        <v>226072.08</v>
      </c>
      <c r="FK10" s="897">
        <f>+CA10+DATI!GN10+DATI!FN10+DATI!FA10+DATI!EN10+DATI!EA10+DATI!DN10+DATI!DA10+DATI!CN10+DATI!CA10+CN10+DA10+DN10+EA10</f>
        <v>527316.8728710001</v>
      </c>
      <c r="FL10" s="1221">
        <f>+EX10+EK10+DX10+DK10+CX10+CK10+DATI!GX10+DATI!GK10+DATI!FX10+DATI!FK10+DATI!EX10+DATI!EK10+DATI!DX10+DATI!DK10+DATI!CX10+DATI!CK10</f>
        <v>489822.8436525</v>
      </c>
      <c r="FM10" s="877">
        <f t="shared" si="18"/>
        <v>753388.952871</v>
      </c>
      <c r="FN10" s="877">
        <f>+BZ10+DATI!GM10+DATI!FZ10+DATI!FM10+DATI!EZ10+DATI!EM10+DATI!DZ10+DATI!DM10+DATI!CZ10+DATI!CM10+DATI!BZ10</f>
        <v>753388.9500000001</v>
      </c>
      <c r="FO10" s="877">
        <f>+FE10-FM10</f>
        <v>184.64712899993174</v>
      </c>
      <c r="FP10" s="896">
        <f>+FN10/FE10</f>
        <v>0.9997549675307098</v>
      </c>
      <c r="FQ10" s="899"/>
      <c r="FR10" s="566">
        <v>37974</v>
      </c>
      <c r="FS10" s="655">
        <f>36+6+9+3.44+3</f>
        <v>57.44</v>
      </c>
      <c r="FT10" s="697">
        <f t="shared" si="23"/>
        <v>4.786666666666666</v>
      </c>
      <c r="FU10" s="441">
        <f t="shared" si="19"/>
        <v>39721.13333333333</v>
      </c>
      <c r="FV10" s="1096" t="s">
        <v>434</v>
      </c>
      <c r="FW10" s="1161" t="s">
        <v>403</v>
      </c>
      <c r="FX10" s="1162"/>
      <c r="FY10" s="974">
        <v>1159059.923076923</v>
      </c>
      <c r="FZ10" s="974">
        <v>753388.95</v>
      </c>
      <c r="GA10" s="974"/>
      <c r="GB10" s="974"/>
      <c r="GC10" s="974"/>
      <c r="GD10" s="974"/>
    </row>
    <row r="11" spans="1:186" s="155" customFormat="1" ht="12" customHeight="1">
      <c r="A11" s="405">
        <v>9</v>
      </c>
      <c r="B11" s="406" t="e">
        <f>IF(#REF!&gt;0,"si","no")</f>
        <v>#REF!</v>
      </c>
      <c r="C11" s="407">
        <v>25</v>
      </c>
      <c r="D11" s="477" t="s">
        <v>834</v>
      </c>
      <c r="E11" s="477" t="s">
        <v>835</v>
      </c>
      <c r="F11" s="477" t="s">
        <v>480</v>
      </c>
      <c r="G11" s="477" t="s">
        <v>1378</v>
      </c>
      <c r="H11" s="820" t="s">
        <v>1181</v>
      </c>
      <c r="I11" s="526" t="s">
        <v>1151</v>
      </c>
      <c r="J11" s="411">
        <v>2074479</v>
      </c>
      <c r="K11" s="410">
        <v>65</v>
      </c>
      <c r="L11" s="410" t="str">
        <f t="shared" si="0"/>
        <v>è</v>
      </c>
      <c r="M11" s="410" t="s">
        <v>793</v>
      </c>
      <c r="N11" s="409">
        <v>1140479</v>
      </c>
      <c r="O11" s="409">
        <f t="shared" si="1"/>
        <v>934000</v>
      </c>
      <c r="P11" s="409">
        <f t="shared" si="2"/>
        <v>186800</v>
      </c>
      <c r="Q11" s="411">
        <f t="shared" si="3"/>
        <v>2261279</v>
      </c>
      <c r="R11" s="431">
        <f t="shared" si="4"/>
        <v>1348411.35</v>
      </c>
      <c r="S11" s="409">
        <f t="shared" si="5"/>
        <v>121420</v>
      </c>
      <c r="T11" s="411">
        <f t="shared" si="6"/>
        <v>1469831.35</v>
      </c>
      <c r="U11" s="411">
        <f t="shared" si="12"/>
        <v>734915.675</v>
      </c>
      <c r="V11" s="411">
        <f t="shared" si="13"/>
        <v>514440.9725</v>
      </c>
      <c r="W11" s="409">
        <f t="shared" si="14"/>
        <v>1249356.6475</v>
      </c>
      <c r="X11" s="411">
        <f t="shared" si="7"/>
        <v>220474.7025</v>
      </c>
      <c r="Y11" s="411">
        <f t="shared" si="8"/>
        <v>726067.6499999999</v>
      </c>
      <c r="Z11" s="411">
        <f t="shared" si="9"/>
        <v>791447.6499999999</v>
      </c>
      <c r="AA11" s="412" t="s">
        <v>794</v>
      </c>
      <c r="AB11" s="432" t="s">
        <v>836</v>
      </c>
      <c r="AC11" s="432" t="s">
        <v>837</v>
      </c>
      <c r="AD11" s="405" t="s">
        <v>797</v>
      </c>
      <c r="AE11" s="405" t="s">
        <v>798</v>
      </c>
      <c r="AF11" s="405" t="s">
        <v>838</v>
      </c>
      <c r="AG11" s="405">
        <v>184</v>
      </c>
      <c r="AH11" s="405">
        <v>70126</v>
      </c>
      <c r="AI11" s="405">
        <v>93281980727</v>
      </c>
      <c r="AJ11" s="414" t="s">
        <v>1095</v>
      </c>
      <c r="AK11" s="410">
        <v>80</v>
      </c>
      <c r="AL11" s="410">
        <v>253</v>
      </c>
      <c r="AM11" s="416">
        <v>38166</v>
      </c>
      <c r="AN11" s="416">
        <v>38191</v>
      </c>
      <c r="AO11" s="406" t="s">
        <v>4</v>
      </c>
      <c r="AP11" s="406">
        <v>1655</v>
      </c>
      <c r="AQ11" s="410">
        <v>21</v>
      </c>
      <c r="AR11" s="410">
        <v>17</v>
      </c>
      <c r="AS11" s="676" t="s">
        <v>165</v>
      </c>
      <c r="AT11" s="676" t="s">
        <v>165</v>
      </c>
      <c r="AU11" s="470" t="s">
        <v>295</v>
      </c>
      <c r="AV11" s="471">
        <v>38331</v>
      </c>
      <c r="AW11" s="471">
        <v>38322</v>
      </c>
      <c r="AX11" s="1083">
        <v>38322</v>
      </c>
      <c r="AY11" s="155" t="s">
        <v>734</v>
      </c>
      <c r="BB11" s="155" t="s">
        <v>834</v>
      </c>
      <c r="BC11" s="432">
        <v>24996</v>
      </c>
      <c r="BE11" s="155" t="s">
        <v>807</v>
      </c>
      <c r="BF11" s="853" t="s">
        <v>1152</v>
      </c>
      <c r="BG11" s="471">
        <v>38323</v>
      </c>
      <c r="BH11" s="155" t="s">
        <v>288</v>
      </c>
      <c r="BI11" s="411">
        <f t="shared" si="15"/>
        <v>440949.405</v>
      </c>
      <c r="BJ11" s="411">
        <f t="shared" si="16"/>
        <v>374806.99425</v>
      </c>
      <c r="BK11" s="479" t="s">
        <v>1104</v>
      </c>
      <c r="BL11" s="411">
        <f t="shared" si="10"/>
        <v>66142.41075</v>
      </c>
      <c r="BM11" s="479" t="s">
        <v>1104</v>
      </c>
      <c r="BN11" s="411">
        <f t="shared" si="11"/>
        <v>154332.29175</v>
      </c>
      <c r="BO11" s="411"/>
      <c r="BP11" s="411"/>
      <c r="BQ11" s="539">
        <v>668</v>
      </c>
      <c r="BR11" s="416">
        <v>38330</v>
      </c>
      <c r="BS11" s="405" t="s">
        <v>154</v>
      </c>
      <c r="BT11" s="711" t="s">
        <v>390</v>
      </c>
      <c r="BU11" s="838" t="s">
        <v>353</v>
      </c>
      <c r="BV11" s="435">
        <v>38341</v>
      </c>
      <c r="BW11" s="430">
        <f>374806.99+66142.41</f>
        <v>440949.4</v>
      </c>
      <c r="BX11" s="878">
        <f>374806.99+66142.41</f>
        <v>440949.4</v>
      </c>
      <c r="BY11" s="872"/>
      <c r="BZ11" s="872"/>
      <c r="CA11" s="872"/>
      <c r="CB11" s="872"/>
      <c r="CC11" s="872"/>
      <c r="CD11" s="872"/>
      <c r="CE11" s="872"/>
      <c r="CF11" s="872"/>
      <c r="CG11" s="872"/>
      <c r="CH11" s="872"/>
      <c r="CI11" s="872"/>
      <c r="CJ11" s="872"/>
      <c r="CK11" s="872"/>
      <c r="CL11" s="872"/>
      <c r="CM11" s="872"/>
      <c r="CN11" s="872"/>
      <c r="CO11" s="872"/>
      <c r="CP11" s="872"/>
      <c r="CQ11" s="872"/>
      <c r="CR11" s="872"/>
      <c r="CS11" s="872"/>
      <c r="CT11" s="872"/>
      <c r="CU11" s="872"/>
      <c r="CV11" s="872"/>
      <c r="CW11" s="872"/>
      <c r="CX11" s="872"/>
      <c r="CY11" s="872"/>
      <c r="CZ11" s="872"/>
      <c r="DA11" s="872"/>
      <c r="DB11" s="872"/>
      <c r="DC11" s="872"/>
      <c r="DD11" s="872"/>
      <c r="DE11" s="872"/>
      <c r="DF11" s="872"/>
      <c r="DG11" s="872"/>
      <c r="DH11" s="872"/>
      <c r="DI11" s="872"/>
      <c r="DJ11" s="872"/>
      <c r="DK11" s="872"/>
      <c r="DL11" s="872"/>
      <c r="DM11" s="872"/>
      <c r="DN11" s="872"/>
      <c r="DO11" s="872"/>
      <c r="DP11" s="872"/>
      <c r="DQ11" s="872"/>
      <c r="DR11" s="872"/>
      <c r="DS11" s="872"/>
      <c r="DT11" s="872"/>
      <c r="DU11" s="872"/>
      <c r="DV11" s="872"/>
      <c r="DW11" s="872"/>
      <c r="DX11" s="872"/>
      <c r="DY11" s="872"/>
      <c r="DZ11" s="872"/>
      <c r="EA11" s="872"/>
      <c r="EB11" s="872"/>
      <c r="EC11" s="872"/>
      <c r="ED11" s="872"/>
      <c r="EE11" s="872"/>
      <c r="EF11" s="872"/>
      <c r="EG11" s="872"/>
      <c r="EH11" s="872"/>
      <c r="EI11" s="872"/>
      <c r="EJ11" s="872"/>
      <c r="EK11" s="872"/>
      <c r="EL11" s="872"/>
      <c r="EM11" s="872"/>
      <c r="EN11" s="872"/>
      <c r="EO11" s="872"/>
      <c r="EP11" s="872"/>
      <c r="EQ11" s="872"/>
      <c r="ER11" s="872"/>
      <c r="ES11" s="872"/>
      <c r="ET11" s="872"/>
      <c r="EU11" s="872"/>
      <c r="EV11" s="872"/>
      <c r="EW11" s="872"/>
      <c r="EX11" s="872"/>
      <c r="EY11" s="894">
        <f t="shared" si="17"/>
        <v>2261279</v>
      </c>
      <c r="EZ11" s="894">
        <v>63000</v>
      </c>
      <c r="FA11" s="894">
        <f>+EY11-EZ11</f>
        <v>2198279</v>
      </c>
      <c r="FB11" s="1089">
        <f>+BY11+DATI!GL11+DATI!FY11+DATI!FL11+DATI!EY11+DATI!EL11+DATI!DY11+DATI!DL11+DATI!CY11+DATI!CL11+DATI!BY11+CL11+CY11+DL11+DY11</f>
        <v>2041154.5387799998</v>
      </c>
      <c r="FC11" s="894">
        <f>+FA11-FB11</f>
        <v>157124.46122000017</v>
      </c>
      <c r="FD11" s="895">
        <f>+FB11/FA11</f>
        <v>0.9285238765325056</v>
      </c>
      <c r="FE11" s="897">
        <f t="shared" si="21"/>
        <v>1469831.35</v>
      </c>
      <c r="FF11" s="897"/>
      <c r="FG11" s="1097"/>
      <c r="FH11" s="1098"/>
      <c r="FI11" s="897">
        <f>+FE11-FF11</f>
        <v>1469831.35</v>
      </c>
      <c r="FJ11" s="897">
        <f t="shared" si="22"/>
        <v>440949.4</v>
      </c>
      <c r="FK11" s="897">
        <f>+CA11+DATI!GN11+DATI!FN11+DATI!FA11+DATI!EN11+DATI!EA11+DATI!DN11+DATI!DA11+DATI!CN11+DATI!CA11+CN11+DA11+DN11+EA11</f>
        <v>885801.0442543749</v>
      </c>
      <c r="FL11" s="1221">
        <f>+EX11+EK11+DX11+DK11+CX11+CK11+DATI!GX11+DATI!GK11+DATI!FX11+DATI!FK11+DATI!EX11+DATI!EK11+DATI!DX11+DATI!DK11+DATI!CX11+DATI!CK11</f>
        <v>885800.8705074999</v>
      </c>
      <c r="FM11" s="877">
        <f t="shared" si="18"/>
        <v>1326750.444254375</v>
      </c>
      <c r="FN11" s="877">
        <f>+BZ11+DATI!GM11+DATI!FZ11+DATI!FM11+DATI!EZ11+DATI!EM11+DATI!DZ11+DATI!DM11+DATI!CZ11+DATI!CM11+DATI!BZ11</f>
        <v>1326750.4502070001</v>
      </c>
      <c r="FO11" s="877">
        <f>+FI11-FM11</f>
        <v>143080.90574562503</v>
      </c>
      <c r="FP11" s="896">
        <f>+FN11/FI11</f>
        <v>0.9026548863629831</v>
      </c>
      <c r="FQ11" s="899"/>
      <c r="FR11" s="566">
        <v>38139</v>
      </c>
      <c r="FS11" s="655">
        <f>36+6+6+2</f>
        <v>50</v>
      </c>
      <c r="FT11" s="697">
        <f t="shared" si="23"/>
        <v>4.166666666666667</v>
      </c>
      <c r="FU11" s="441">
        <f t="shared" si="19"/>
        <v>39659.833333333336</v>
      </c>
      <c r="FV11" s="1096" t="s">
        <v>434</v>
      </c>
      <c r="FW11" s="1161"/>
      <c r="FX11" s="1162"/>
      <c r="FY11" s="974">
        <v>2041154.5387799998</v>
      </c>
      <c r="FZ11" s="974">
        <f>+FY11*0.65</f>
        <v>1326750.450207</v>
      </c>
      <c r="GA11" s="974"/>
      <c r="GB11" s="974"/>
      <c r="GC11" s="974"/>
      <c r="GD11" s="974"/>
    </row>
    <row r="12" spans="1:186" s="1024" customFormat="1" ht="12" customHeight="1">
      <c r="A12" s="421">
        <v>10</v>
      </c>
      <c r="B12" s="980" t="e">
        <f>IF(#REF!&gt;0,"si","no")</f>
        <v>#REF!</v>
      </c>
      <c r="C12" s="407">
        <v>26</v>
      </c>
      <c r="D12" s="477" t="s">
        <v>890</v>
      </c>
      <c r="E12" s="477" t="s">
        <v>891</v>
      </c>
      <c r="F12" s="477" t="s">
        <v>480</v>
      </c>
      <c r="G12" s="477" t="s">
        <v>1327</v>
      </c>
      <c r="H12" s="820" t="s">
        <v>1188</v>
      </c>
      <c r="I12" s="526" t="s">
        <v>1203</v>
      </c>
      <c r="J12" s="411">
        <v>733650</v>
      </c>
      <c r="K12" s="410">
        <v>65</v>
      </c>
      <c r="L12" s="410" t="str">
        <f t="shared" si="0"/>
        <v>è</v>
      </c>
      <c r="M12" s="410" t="s">
        <v>793</v>
      </c>
      <c r="N12" s="409">
        <v>328000</v>
      </c>
      <c r="O12" s="409">
        <f t="shared" si="1"/>
        <v>405650</v>
      </c>
      <c r="P12" s="409">
        <f t="shared" si="2"/>
        <v>81130</v>
      </c>
      <c r="Q12" s="411">
        <f t="shared" si="3"/>
        <v>814780</v>
      </c>
      <c r="R12" s="411">
        <f t="shared" si="4"/>
        <v>476872.5</v>
      </c>
      <c r="S12" s="409">
        <f t="shared" si="5"/>
        <v>52734.5</v>
      </c>
      <c r="T12" s="411">
        <f t="shared" si="6"/>
        <v>529607</v>
      </c>
      <c r="U12" s="411">
        <f t="shared" si="12"/>
        <v>264803.5</v>
      </c>
      <c r="V12" s="411">
        <f t="shared" si="13"/>
        <v>185362.44999999998</v>
      </c>
      <c r="W12" s="409">
        <f t="shared" si="14"/>
        <v>450165.95</v>
      </c>
      <c r="X12" s="411">
        <f t="shared" si="7"/>
        <v>79441.05</v>
      </c>
      <c r="Y12" s="411">
        <f t="shared" si="8"/>
        <v>256777.5</v>
      </c>
      <c r="Z12" s="411">
        <f t="shared" si="9"/>
        <v>285173</v>
      </c>
      <c r="AA12" s="412" t="s">
        <v>794</v>
      </c>
      <c r="AB12" s="413" t="s">
        <v>795</v>
      </c>
      <c r="AC12" s="413" t="s">
        <v>892</v>
      </c>
      <c r="AD12" s="213" t="s">
        <v>797</v>
      </c>
      <c r="AE12" s="213" t="s">
        <v>798</v>
      </c>
      <c r="AF12" s="213" t="s">
        <v>893</v>
      </c>
      <c r="AG12" s="213" t="s">
        <v>894</v>
      </c>
      <c r="AH12" s="213">
        <v>70126</v>
      </c>
      <c r="AI12" s="424" t="s">
        <v>52</v>
      </c>
      <c r="AJ12" s="414" t="s">
        <v>54</v>
      </c>
      <c r="AK12" s="415">
        <v>57</v>
      </c>
      <c r="AL12" s="415">
        <v>265</v>
      </c>
      <c r="AM12" s="420">
        <v>38177</v>
      </c>
      <c r="AN12" s="420">
        <v>38238</v>
      </c>
      <c r="AO12" s="406" t="s">
        <v>67</v>
      </c>
      <c r="AP12" s="406">
        <v>1681</v>
      </c>
      <c r="AQ12" s="415">
        <v>29</v>
      </c>
      <c r="AR12" s="415">
        <v>24</v>
      </c>
      <c r="AS12" s="1087" t="s">
        <v>1312</v>
      </c>
      <c r="AT12" s="1088" t="s">
        <v>1312</v>
      </c>
      <c r="AU12" s="470" t="s">
        <v>295</v>
      </c>
      <c r="AV12" s="1084">
        <v>38425</v>
      </c>
      <c r="AW12" s="1084">
        <v>38366</v>
      </c>
      <c r="AX12" s="1085">
        <v>38399</v>
      </c>
      <c r="AY12" s="475" t="s">
        <v>1204</v>
      </c>
      <c r="AZ12" s="475" t="s">
        <v>1207</v>
      </c>
      <c r="BA12" s="475" t="s">
        <v>1205</v>
      </c>
      <c r="BB12" s="475" t="s">
        <v>890</v>
      </c>
      <c r="BC12" s="424" t="s">
        <v>1206</v>
      </c>
      <c r="BD12" s="475" t="s">
        <v>369</v>
      </c>
      <c r="BE12" s="475"/>
      <c r="BF12" s="1086" t="s">
        <v>1208</v>
      </c>
      <c r="BG12" s="1084">
        <v>38376</v>
      </c>
      <c r="BH12" s="475" t="s">
        <v>105</v>
      </c>
      <c r="BI12" s="411">
        <v>158882</v>
      </c>
      <c r="BJ12" s="411">
        <f t="shared" si="16"/>
        <v>135049.69999999998</v>
      </c>
      <c r="BK12" s="479" t="s">
        <v>1104</v>
      </c>
      <c r="BL12" s="411">
        <f t="shared" si="10"/>
        <v>23832.3</v>
      </c>
      <c r="BM12" s="479" t="s">
        <v>1125</v>
      </c>
      <c r="BN12" s="411">
        <f t="shared" si="11"/>
        <v>55608.7</v>
      </c>
      <c r="BO12" s="411"/>
      <c r="BP12" s="411"/>
      <c r="BQ12" s="415">
        <v>285</v>
      </c>
      <c r="BR12" s="420">
        <v>38425</v>
      </c>
      <c r="BS12" s="213" t="s">
        <v>154</v>
      </c>
      <c r="BT12" s="539">
        <v>7259</v>
      </c>
      <c r="BU12" s="726" t="s">
        <v>1061</v>
      </c>
      <c r="BV12" s="416">
        <v>38471</v>
      </c>
      <c r="BW12" s="430">
        <f>135049.7+23832.3</f>
        <v>158882</v>
      </c>
      <c r="BX12" s="878">
        <v>158882</v>
      </c>
      <c r="BY12" s="861"/>
      <c r="BZ12" s="861"/>
      <c r="CA12" s="861"/>
      <c r="CB12" s="861"/>
      <c r="CC12" s="861"/>
      <c r="CD12" s="861"/>
      <c r="CE12" s="861"/>
      <c r="CF12" s="861"/>
      <c r="CG12" s="861"/>
      <c r="CH12" s="861"/>
      <c r="CI12" s="861"/>
      <c r="CJ12" s="861"/>
      <c r="CK12" s="861"/>
      <c r="CL12" s="861"/>
      <c r="CM12" s="861"/>
      <c r="CN12" s="861"/>
      <c r="CO12" s="861"/>
      <c r="CP12" s="861"/>
      <c r="CQ12" s="861"/>
      <c r="CR12" s="861"/>
      <c r="CS12" s="861"/>
      <c r="CT12" s="861"/>
      <c r="CU12" s="861"/>
      <c r="CV12" s="861"/>
      <c r="CW12" s="861"/>
      <c r="CX12" s="861"/>
      <c r="CY12" s="861"/>
      <c r="CZ12" s="861"/>
      <c r="DA12" s="861"/>
      <c r="DB12" s="861"/>
      <c r="DC12" s="861"/>
      <c r="DD12" s="861"/>
      <c r="DE12" s="861"/>
      <c r="DF12" s="861"/>
      <c r="DG12" s="861"/>
      <c r="DH12" s="861"/>
      <c r="DI12" s="861"/>
      <c r="DJ12" s="861"/>
      <c r="DK12" s="861"/>
      <c r="DL12" s="861"/>
      <c r="DM12" s="861"/>
      <c r="DN12" s="861"/>
      <c r="DO12" s="861"/>
      <c r="DP12" s="861"/>
      <c r="DQ12" s="861"/>
      <c r="DR12" s="861"/>
      <c r="DS12" s="861"/>
      <c r="DT12" s="861"/>
      <c r="DU12" s="861"/>
      <c r="DV12" s="861"/>
      <c r="DW12" s="861"/>
      <c r="DX12" s="861"/>
      <c r="DY12" s="861"/>
      <c r="DZ12" s="861"/>
      <c r="EA12" s="861"/>
      <c r="EB12" s="861"/>
      <c r="EC12" s="861"/>
      <c r="ED12" s="861"/>
      <c r="EE12" s="861"/>
      <c r="EF12" s="861"/>
      <c r="EG12" s="861"/>
      <c r="EH12" s="861"/>
      <c r="EI12" s="861"/>
      <c r="EJ12" s="861"/>
      <c r="EK12" s="861"/>
      <c r="EL12" s="861"/>
      <c r="EM12" s="861"/>
      <c r="EN12" s="861"/>
      <c r="EO12" s="861"/>
      <c r="EP12" s="861"/>
      <c r="EQ12" s="861"/>
      <c r="ER12" s="861"/>
      <c r="ES12" s="861"/>
      <c r="ET12" s="861"/>
      <c r="EU12" s="861"/>
      <c r="EV12" s="861"/>
      <c r="EW12" s="861"/>
      <c r="EX12" s="861"/>
      <c r="EY12" s="894">
        <f t="shared" si="17"/>
        <v>814780</v>
      </c>
      <c r="EZ12" s="894">
        <f>+EY12-FA12</f>
        <v>72930.56999999995</v>
      </c>
      <c r="FA12" s="894">
        <v>741849.43</v>
      </c>
      <c r="FB12" s="1089">
        <f>+BY12+DATI!GL12+DATI!FY12+DATI!FL12+DATI!EY12+DATI!EL12+DATI!DY12+DATI!DL12+DATI!CY12+DATI!CL12+DATI!BY12+CL12+CY12+DL12+DY12</f>
        <v>741849.4280000001</v>
      </c>
      <c r="FC12" s="894">
        <f>+FA12-FB12</f>
        <v>0.001999999978579581</v>
      </c>
      <c r="FD12" s="895">
        <f>FB12/FA12</f>
        <v>0.9999999973040352</v>
      </c>
      <c r="FE12" s="897">
        <f t="shared" si="21"/>
        <v>529607</v>
      </c>
      <c r="FF12" s="1092">
        <f>+EZ12*0.65</f>
        <v>47404.87049999997</v>
      </c>
      <c r="FG12" s="1097">
        <v>167</v>
      </c>
      <c r="FH12" s="1098">
        <v>39583</v>
      </c>
      <c r="FI12" s="897">
        <f>+FE12-FF12</f>
        <v>482202.12950000004</v>
      </c>
      <c r="FJ12" s="897">
        <f t="shared" si="22"/>
        <v>158882</v>
      </c>
      <c r="FK12" s="897">
        <f>+CA12+DATI!GN12+DATI!FN12+DATI!FA12+DATI!EN12+DATI!EA12+DATI!DN12+DATI!DA12+DATI!CN12+DATI!CA12+CN12+DA12+DN12+EA12</f>
        <v>323320.12450000003</v>
      </c>
      <c r="FL12" s="1221">
        <f>+EX12+EK12+DX12+DK12+CX12+CK12+DATI!GX12+DATI!GK12+DATI!FX12+DATI!FK12+DATI!EX12+DATI!EK12+DATI!DX12+DATI!DK12+DATI!CX12+DATI!CK12</f>
        <v>323320.1175</v>
      </c>
      <c r="FM12" s="877">
        <f t="shared" si="18"/>
        <v>482202.12450000003</v>
      </c>
      <c r="FN12" s="877">
        <f>+BZ12+DATI!GM12+DATI!FZ12+DATI!FM12+DATI!EZ12+DATI!EM12+DATI!DZ12+DATI!DM12+DATI!CZ12+DATI!CM12+DATI!BZ12</f>
        <v>482202.1282</v>
      </c>
      <c r="FO12" s="877">
        <f>+FI12-FM12</f>
        <v>0.005000000004656613</v>
      </c>
      <c r="FP12" s="896">
        <f>+FN12/FI12</f>
        <v>0.999999997304035</v>
      </c>
      <c r="FQ12" s="1010"/>
      <c r="FR12" s="567">
        <v>38376</v>
      </c>
      <c r="FS12" s="656">
        <f>18+6+2</f>
        <v>26</v>
      </c>
      <c r="FT12" s="697">
        <f t="shared" si="23"/>
        <v>2.1666666666666665</v>
      </c>
      <c r="FU12" s="441">
        <f t="shared" si="19"/>
        <v>39166.833333333336</v>
      </c>
      <c r="FV12" s="1096" t="s">
        <v>434</v>
      </c>
      <c r="FW12" s="1161">
        <v>75</v>
      </c>
      <c r="FX12" s="1162">
        <v>39511</v>
      </c>
      <c r="FY12" s="974">
        <v>741849.4280000001</v>
      </c>
      <c r="FZ12" s="974">
        <f>+FY12*0.65</f>
        <v>482202.12820000004</v>
      </c>
      <c r="GA12" s="974"/>
      <c r="GB12" s="1013"/>
      <c r="GC12" s="1013"/>
      <c r="GD12" s="1013"/>
    </row>
    <row r="13" spans="1:186" s="995" customFormat="1" ht="12" customHeight="1">
      <c r="A13" s="421">
        <v>11</v>
      </c>
      <c r="B13" s="980" t="e">
        <f>IF(#REF!&gt;0,"si","no")</f>
        <v>#REF!</v>
      </c>
      <c r="C13" s="407">
        <v>27</v>
      </c>
      <c r="D13" s="477" t="s">
        <v>1096</v>
      </c>
      <c r="E13" s="477" t="s">
        <v>855</v>
      </c>
      <c r="F13" s="477" t="s">
        <v>480</v>
      </c>
      <c r="G13" s="477" t="s">
        <v>34</v>
      </c>
      <c r="H13" s="820" t="s">
        <v>1056</v>
      </c>
      <c r="I13" s="526" t="s">
        <v>1094</v>
      </c>
      <c r="J13" s="411">
        <v>793500</v>
      </c>
      <c r="K13" s="410">
        <v>50</v>
      </c>
      <c r="L13" s="410" t="str">
        <f t="shared" si="0"/>
        <v>non è</v>
      </c>
      <c r="M13" s="410" t="s">
        <v>809</v>
      </c>
      <c r="N13" s="409">
        <v>123500</v>
      </c>
      <c r="O13" s="409">
        <f t="shared" si="1"/>
        <v>670000</v>
      </c>
      <c r="P13" s="409">
        <f t="shared" si="2"/>
        <v>134000</v>
      </c>
      <c r="Q13" s="411">
        <f t="shared" si="3"/>
        <v>927500</v>
      </c>
      <c r="R13" s="411">
        <f t="shared" si="4"/>
        <v>396750</v>
      </c>
      <c r="S13" s="409">
        <f t="shared" si="5"/>
        <v>67000</v>
      </c>
      <c r="T13" s="411">
        <f t="shared" si="6"/>
        <v>463750</v>
      </c>
      <c r="U13" s="411">
        <f t="shared" si="12"/>
        <v>231875</v>
      </c>
      <c r="V13" s="411">
        <f t="shared" si="13"/>
        <v>162312.5</v>
      </c>
      <c r="W13" s="409">
        <f t="shared" si="14"/>
        <v>394187.5</v>
      </c>
      <c r="X13" s="411">
        <f t="shared" si="7"/>
        <v>69562.5</v>
      </c>
      <c r="Y13" s="411">
        <f t="shared" si="8"/>
        <v>396750</v>
      </c>
      <c r="Z13" s="411">
        <f t="shared" si="9"/>
        <v>463750</v>
      </c>
      <c r="AA13" s="437" t="s">
        <v>794</v>
      </c>
      <c r="AB13" s="438" t="s">
        <v>795</v>
      </c>
      <c r="AC13" s="439" t="s">
        <v>856</v>
      </c>
      <c r="AD13" s="421" t="s">
        <v>797</v>
      </c>
      <c r="AE13" s="421" t="s">
        <v>798</v>
      </c>
      <c r="AF13" s="421" t="s">
        <v>1057</v>
      </c>
      <c r="AG13" s="421">
        <v>5</v>
      </c>
      <c r="AH13" s="421">
        <v>70125</v>
      </c>
      <c r="AI13" s="439" t="s">
        <v>1020</v>
      </c>
      <c r="AJ13" s="440" t="s">
        <v>49</v>
      </c>
      <c r="AK13" s="410">
        <v>66</v>
      </c>
      <c r="AL13" s="410">
        <v>269</v>
      </c>
      <c r="AM13" s="441">
        <v>38177</v>
      </c>
      <c r="AN13" s="441">
        <v>38238</v>
      </c>
      <c r="AO13" s="406" t="s">
        <v>66</v>
      </c>
      <c r="AP13" s="406">
        <v>1680</v>
      </c>
      <c r="AQ13" s="410">
        <v>33</v>
      </c>
      <c r="AR13" s="410">
        <v>28</v>
      </c>
      <c r="AS13" s="676" t="s">
        <v>188</v>
      </c>
      <c r="AT13" s="1099" t="s">
        <v>1023</v>
      </c>
      <c r="AU13" s="472" t="s">
        <v>295</v>
      </c>
      <c r="AV13" s="473">
        <v>38284</v>
      </c>
      <c r="AW13" s="473">
        <v>38294</v>
      </c>
      <c r="AX13" s="1082">
        <v>38315</v>
      </c>
      <c r="AY13" s="474" t="s">
        <v>8</v>
      </c>
      <c r="AZ13" s="474" t="s">
        <v>12</v>
      </c>
      <c r="BA13" s="474" t="s">
        <v>11</v>
      </c>
      <c r="BB13" s="474" t="s">
        <v>1096</v>
      </c>
      <c r="BC13" s="439" t="s">
        <v>9</v>
      </c>
      <c r="BD13" s="474" t="s">
        <v>10</v>
      </c>
      <c r="BE13" s="474"/>
      <c r="BF13" s="440" t="s">
        <v>1099</v>
      </c>
      <c r="BG13" s="473">
        <v>38313</v>
      </c>
      <c r="BH13" s="474" t="s">
        <v>1098</v>
      </c>
      <c r="BI13" s="411">
        <v>119000</v>
      </c>
      <c r="BJ13" s="411">
        <f t="shared" si="16"/>
        <v>101150</v>
      </c>
      <c r="BK13" s="479" t="s">
        <v>1104</v>
      </c>
      <c r="BL13" s="411">
        <f>BI13*0.15</f>
        <v>17850</v>
      </c>
      <c r="BM13" s="479" t="s">
        <v>1104</v>
      </c>
      <c r="BN13" s="411">
        <f t="shared" si="11"/>
        <v>41650</v>
      </c>
      <c r="BO13" s="411">
        <f>+BN13*0.04</f>
        <v>1666</v>
      </c>
      <c r="BP13" s="411">
        <f>+BL13*0.04</f>
        <v>714</v>
      </c>
      <c r="BQ13" s="540">
        <v>641</v>
      </c>
      <c r="BR13" s="445">
        <v>38320</v>
      </c>
      <c r="BS13" s="421" t="s">
        <v>295</v>
      </c>
      <c r="BT13" s="539">
        <v>5382</v>
      </c>
      <c r="BU13" s="838" t="s">
        <v>1167</v>
      </c>
      <c r="BV13" s="416">
        <v>38336</v>
      </c>
      <c r="BW13" s="430">
        <f>101150+17850</f>
        <v>119000</v>
      </c>
      <c r="BX13" s="878">
        <f>101150+17850</f>
        <v>119000</v>
      </c>
      <c r="BY13" s="743"/>
      <c r="BZ13" s="743"/>
      <c r="CA13" s="743"/>
      <c r="CB13" s="743"/>
      <c r="CC13" s="743"/>
      <c r="CD13" s="743"/>
      <c r="CE13" s="743"/>
      <c r="CF13" s="743"/>
      <c r="CG13" s="743"/>
      <c r="CH13" s="743"/>
      <c r="CI13" s="743"/>
      <c r="CJ13" s="743"/>
      <c r="CK13" s="743"/>
      <c r="CL13" s="743"/>
      <c r="CM13" s="743"/>
      <c r="CN13" s="743"/>
      <c r="CO13" s="743"/>
      <c r="CP13" s="743"/>
      <c r="CQ13" s="743"/>
      <c r="CR13" s="743"/>
      <c r="CS13" s="743"/>
      <c r="CT13" s="743"/>
      <c r="CU13" s="743"/>
      <c r="CV13" s="743"/>
      <c r="CW13" s="743"/>
      <c r="CX13" s="743"/>
      <c r="CY13" s="743"/>
      <c r="CZ13" s="743"/>
      <c r="DA13" s="743"/>
      <c r="DB13" s="743"/>
      <c r="DC13" s="743"/>
      <c r="DD13" s="743"/>
      <c r="DE13" s="743"/>
      <c r="DF13" s="743"/>
      <c r="DG13" s="743"/>
      <c r="DH13" s="743"/>
      <c r="DI13" s="743"/>
      <c r="DJ13" s="743"/>
      <c r="DK13" s="743"/>
      <c r="DL13" s="743"/>
      <c r="DM13" s="743"/>
      <c r="DN13" s="743"/>
      <c r="DO13" s="743"/>
      <c r="DP13" s="743"/>
      <c r="DQ13" s="743"/>
      <c r="DR13" s="743"/>
      <c r="DS13" s="743"/>
      <c r="DT13" s="743"/>
      <c r="DU13" s="743"/>
      <c r="DV13" s="743"/>
      <c r="DW13" s="743"/>
      <c r="DX13" s="743"/>
      <c r="DY13" s="743"/>
      <c r="DZ13" s="743"/>
      <c r="EA13" s="743"/>
      <c r="EB13" s="743"/>
      <c r="EC13" s="743"/>
      <c r="ED13" s="743"/>
      <c r="EE13" s="743"/>
      <c r="EF13" s="743"/>
      <c r="EG13" s="743"/>
      <c r="EH13" s="743"/>
      <c r="EI13" s="743"/>
      <c r="EJ13" s="743"/>
      <c r="EK13" s="743"/>
      <c r="EL13" s="743"/>
      <c r="EM13" s="743"/>
      <c r="EN13" s="743"/>
      <c r="EO13" s="743"/>
      <c r="EP13" s="743"/>
      <c r="EQ13" s="743"/>
      <c r="ER13" s="743"/>
      <c r="ES13" s="743"/>
      <c r="ET13" s="743"/>
      <c r="EU13" s="743"/>
      <c r="EV13" s="743"/>
      <c r="EW13" s="743"/>
      <c r="EX13" s="743"/>
      <c r="EY13" s="894">
        <f t="shared" si="17"/>
        <v>927500</v>
      </c>
      <c r="EZ13" s="894">
        <f>+EY13-FA13</f>
        <v>111599.10999999999</v>
      </c>
      <c r="FA13" s="894">
        <v>815900.89</v>
      </c>
      <c r="FB13" s="1089">
        <f>+BY13+DATI!GL13+DATI!FY13+DATI!FL13+DATI!EY13+DATI!EL13+DATI!DY13+DATI!DL13+DATI!CY13+DATI!CL13+DATI!BY13+CL13+CY13+DL13+DY13</f>
        <v>815900.88</v>
      </c>
      <c r="FC13" s="894">
        <f>+FA13-FB13</f>
        <v>0.010000000009313226</v>
      </c>
      <c r="FD13" s="895">
        <f>FB13/FA13</f>
        <v>0.9999999877436094</v>
      </c>
      <c r="FE13" s="897">
        <f t="shared" si="21"/>
        <v>463750</v>
      </c>
      <c r="FF13" s="897">
        <f>+EZ13*0.5</f>
        <v>55799.55499999999</v>
      </c>
      <c r="FG13" s="1097">
        <v>574</v>
      </c>
      <c r="FH13" s="1098">
        <v>39773</v>
      </c>
      <c r="FI13" s="897">
        <f>+FA13*0.5</f>
        <v>407950.445</v>
      </c>
      <c r="FJ13" s="897">
        <f t="shared" si="22"/>
        <v>119000</v>
      </c>
      <c r="FK13" s="897">
        <f>+CA13+DATI!GA13+DATI!FN13+DATI!FA13+DATI!EN13+DATI!EA13+DATI!DN13+DATI!DA13+DATI!CN13+DATI!CA13+CN13+DA13+DN13+EA13</f>
        <v>288950.46</v>
      </c>
      <c r="FL13" s="1221">
        <f>+EX13+EK13+DX13+DK13+CX13+CK13+DATI!GX13+DATI!GK13+DATI!FX13+DATI!FK13+DATI!EX13+DATI!EK13+DATI!DX13+DATI!DK13+DATI!CX13+DATI!CK13</f>
        <v>198400.019375</v>
      </c>
      <c r="FM13" s="877">
        <f t="shared" si="18"/>
        <v>407950.46</v>
      </c>
      <c r="FN13" s="877">
        <f>+BZ13+DATI!GM13+DATI!FZ13+DATI!FM13+DATI!EZ13+DATI!EM13+DATI!DZ13+DATI!DM13+DATI!CZ13+DATI!CM13+DATI!BZ13</f>
        <v>407950.44</v>
      </c>
      <c r="FO13" s="877">
        <f>+FI13-FM13</f>
        <v>-0.015000000013969839</v>
      </c>
      <c r="FP13" s="896">
        <f>+FN13/FI13</f>
        <v>0.9999999877436094</v>
      </c>
      <c r="FQ13" s="1010"/>
      <c r="FR13" s="568">
        <v>38314</v>
      </c>
      <c r="FS13" s="571">
        <v>30</v>
      </c>
      <c r="FT13" s="697">
        <f t="shared" si="23"/>
        <v>2.5</v>
      </c>
      <c r="FU13" s="441">
        <f t="shared" si="19"/>
        <v>39226.5</v>
      </c>
      <c r="FV13" s="1096" t="s">
        <v>434</v>
      </c>
      <c r="FW13" s="1161">
        <v>574</v>
      </c>
      <c r="FX13" s="1162">
        <v>39773</v>
      </c>
      <c r="FY13" s="974">
        <v>815900.88</v>
      </c>
      <c r="FZ13" s="974">
        <f>+FY13*0.5</f>
        <v>407950.44</v>
      </c>
      <c r="GA13" s="974"/>
      <c r="GB13" s="1013"/>
      <c r="GC13" s="1013"/>
      <c r="GD13" s="1013"/>
    </row>
    <row r="14" spans="1:186" s="155" customFormat="1" ht="12" customHeight="1">
      <c r="A14" s="405">
        <v>12</v>
      </c>
      <c r="B14" s="406" t="e">
        <f>IF(#REF!&gt;0,"si","no")</f>
        <v>#REF!</v>
      </c>
      <c r="C14" s="407">
        <v>28</v>
      </c>
      <c r="D14" s="477" t="s">
        <v>826</v>
      </c>
      <c r="E14" s="522" t="s">
        <v>747</v>
      </c>
      <c r="F14" s="477" t="s">
        <v>480</v>
      </c>
      <c r="G14" s="477" t="s">
        <v>1469</v>
      </c>
      <c r="H14" s="820" t="s">
        <v>1179</v>
      </c>
      <c r="I14" s="526" t="s">
        <v>1100</v>
      </c>
      <c r="J14" s="411">
        <v>3842070</v>
      </c>
      <c r="K14" s="410">
        <v>65</v>
      </c>
      <c r="L14" s="410" t="str">
        <f t="shared" si="0"/>
        <v>è</v>
      </c>
      <c r="M14" s="410" t="s">
        <v>793</v>
      </c>
      <c r="N14" s="409">
        <v>2688633</v>
      </c>
      <c r="O14" s="409">
        <f t="shared" si="1"/>
        <v>1153437</v>
      </c>
      <c r="P14" s="409">
        <f t="shared" si="2"/>
        <v>230687.40000000002</v>
      </c>
      <c r="Q14" s="411">
        <f t="shared" si="3"/>
        <v>4072757.4</v>
      </c>
      <c r="R14" s="411">
        <f t="shared" si="4"/>
        <v>2497345.5</v>
      </c>
      <c r="S14" s="409">
        <f t="shared" si="5"/>
        <v>149946.81000000003</v>
      </c>
      <c r="T14" s="411">
        <f t="shared" si="6"/>
        <v>2500000</v>
      </c>
      <c r="U14" s="411">
        <f t="shared" si="12"/>
        <v>1250000</v>
      </c>
      <c r="V14" s="411">
        <f t="shared" si="13"/>
        <v>875000</v>
      </c>
      <c r="W14" s="409">
        <f t="shared" si="14"/>
        <v>2125000</v>
      </c>
      <c r="X14" s="411">
        <f t="shared" si="7"/>
        <v>375000</v>
      </c>
      <c r="Y14" s="411">
        <f t="shared" si="8"/>
        <v>1344724.5</v>
      </c>
      <c r="Z14" s="411">
        <f t="shared" si="9"/>
        <v>1572757.4</v>
      </c>
      <c r="AA14" s="412" t="s">
        <v>794</v>
      </c>
      <c r="AB14" s="426" t="s">
        <v>827</v>
      </c>
      <c r="AC14" s="413" t="s">
        <v>828</v>
      </c>
      <c r="AD14" s="213" t="s">
        <v>797</v>
      </c>
      <c r="AE14" s="213" t="s">
        <v>798</v>
      </c>
      <c r="AF14" s="213" t="s">
        <v>1356</v>
      </c>
      <c r="AG14" s="427" t="s">
        <v>1295</v>
      </c>
      <c r="AH14" s="213">
        <v>70125</v>
      </c>
      <c r="AI14" s="213">
        <v>80026120727</v>
      </c>
      <c r="AJ14" s="414" t="s">
        <v>1102</v>
      </c>
      <c r="AK14" s="415">
        <v>81</v>
      </c>
      <c r="AL14" s="415">
        <v>204</v>
      </c>
      <c r="AM14" s="412">
        <v>38146</v>
      </c>
      <c r="AN14" s="416">
        <v>38191</v>
      </c>
      <c r="AO14" s="406" t="s">
        <v>1014</v>
      </c>
      <c r="AP14" s="406">
        <v>1648</v>
      </c>
      <c r="AQ14" s="417">
        <v>11</v>
      </c>
      <c r="AR14" s="417">
        <v>10</v>
      </c>
      <c r="AS14" s="677" t="s">
        <v>1296</v>
      </c>
      <c r="AT14" s="677" t="s">
        <v>758</v>
      </c>
      <c r="AU14" s="470" t="s">
        <v>295</v>
      </c>
      <c r="AV14" s="471">
        <v>38308</v>
      </c>
      <c r="AW14" s="471">
        <v>38285</v>
      </c>
      <c r="AX14" s="1083">
        <v>38316</v>
      </c>
      <c r="AY14" s="155" t="s">
        <v>1082</v>
      </c>
      <c r="AZ14" s="155" t="s">
        <v>1083</v>
      </c>
      <c r="BA14" s="155" t="s">
        <v>797</v>
      </c>
      <c r="BB14" s="155" t="s">
        <v>1313</v>
      </c>
      <c r="BC14" s="857" t="s">
        <v>1402</v>
      </c>
      <c r="BD14" s="155" t="s">
        <v>1084</v>
      </c>
      <c r="BF14" s="853" t="s">
        <v>1144</v>
      </c>
      <c r="BG14" s="471">
        <v>38317</v>
      </c>
      <c r="BH14" s="155" t="s">
        <v>1145</v>
      </c>
      <c r="BI14" s="411">
        <v>749203.5</v>
      </c>
      <c r="BJ14" s="411">
        <f t="shared" si="16"/>
        <v>636822.975</v>
      </c>
      <c r="BK14" s="479" t="s">
        <v>1146</v>
      </c>
      <c r="BL14" s="411">
        <f t="shared" si="10"/>
        <v>112380.525</v>
      </c>
      <c r="BM14" s="479" t="s">
        <v>1104</v>
      </c>
      <c r="BN14" s="411">
        <f t="shared" si="11"/>
        <v>262221.225</v>
      </c>
      <c r="BO14" s="411"/>
      <c r="BP14" s="411"/>
      <c r="BQ14" s="539">
        <v>665</v>
      </c>
      <c r="BR14" s="416">
        <v>38330</v>
      </c>
      <c r="BS14" s="405" t="s">
        <v>154</v>
      </c>
      <c r="BT14" s="711" t="s">
        <v>394</v>
      </c>
      <c r="BU14" s="838" t="s">
        <v>351</v>
      </c>
      <c r="BV14" s="435">
        <v>38341</v>
      </c>
      <c r="BW14" s="430">
        <f>636822.98+112380.53</f>
        <v>749203.51</v>
      </c>
      <c r="BX14" s="878">
        <f>636822.98+112380.53</f>
        <v>749203.51</v>
      </c>
      <c r="BY14" s="542">
        <v>584005.29</v>
      </c>
      <c r="BZ14" s="409">
        <f>(BY14*0.65)</f>
        <v>379603.43850000005</v>
      </c>
      <c r="CA14" s="409">
        <f>+BZ14</f>
        <v>379603.43850000005</v>
      </c>
      <c r="CB14" s="409">
        <f>CA14*0.85</f>
        <v>322662.922725</v>
      </c>
      <c r="CC14" s="409">
        <f>CA14*0.15</f>
        <v>56940.51577500001</v>
      </c>
      <c r="CD14" s="409">
        <f>CA14*0.35</f>
        <v>132861.20347500002</v>
      </c>
      <c r="CE14" s="542">
        <v>0</v>
      </c>
      <c r="CF14" s="542">
        <v>0</v>
      </c>
      <c r="CG14" s="539">
        <v>336</v>
      </c>
      <c r="CH14" s="416">
        <v>39967</v>
      </c>
      <c r="CI14" s="707" t="s">
        <v>403</v>
      </c>
      <c r="CJ14" s="872"/>
      <c r="CK14" s="872"/>
      <c r="CL14" s="872"/>
      <c r="CM14" s="872"/>
      <c r="CN14" s="872"/>
      <c r="CO14" s="872"/>
      <c r="CP14" s="872"/>
      <c r="CQ14" s="872"/>
      <c r="CR14" s="872"/>
      <c r="CS14" s="872"/>
      <c r="CT14" s="872"/>
      <c r="CU14" s="872"/>
      <c r="CV14" s="872"/>
      <c r="CW14" s="872"/>
      <c r="CX14" s="872"/>
      <c r="CY14" s="872"/>
      <c r="CZ14" s="872"/>
      <c r="DA14" s="872"/>
      <c r="DB14" s="872"/>
      <c r="DC14" s="872"/>
      <c r="DD14" s="872"/>
      <c r="DE14" s="872"/>
      <c r="DF14" s="872"/>
      <c r="DG14" s="872"/>
      <c r="DH14" s="872"/>
      <c r="DI14" s="872"/>
      <c r="DJ14" s="872"/>
      <c r="DK14" s="872"/>
      <c r="DL14" s="872"/>
      <c r="DM14" s="872"/>
      <c r="DN14" s="872"/>
      <c r="DO14" s="872"/>
      <c r="DP14" s="872"/>
      <c r="DQ14" s="872"/>
      <c r="DR14" s="872"/>
      <c r="DS14" s="872"/>
      <c r="DT14" s="872"/>
      <c r="DU14" s="872"/>
      <c r="DV14" s="872"/>
      <c r="DW14" s="872"/>
      <c r="DX14" s="872"/>
      <c r="DY14" s="872"/>
      <c r="DZ14" s="872"/>
      <c r="EA14" s="872"/>
      <c r="EB14" s="872"/>
      <c r="EC14" s="872"/>
      <c r="ED14" s="872"/>
      <c r="EE14" s="872"/>
      <c r="EF14" s="872"/>
      <c r="EG14" s="872"/>
      <c r="EH14" s="872"/>
      <c r="EI14" s="872"/>
      <c r="EJ14" s="872"/>
      <c r="EK14" s="872"/>
      <c r="EL14" s="872"/>
      <c r="EM14" s="872"/>
      <c r="EN14" s="872"/>
      <c r="EO14" s="872"/>
      <c r="EP14" s="872"/>
      <c r="EQ14" s="872"/>
      <c r="ER14" s="872"/>
      <c r="ES14" s="872"/>
      <c r="ET14" s="872"/>
      <c r="EU14" s="872"/>
      <c r="EV14" s="872"/>
      <c r="EW14" s="872"/>
      <c r="EX14" s="872"/>
      <c r="EY14" s="894">
        <v>4072757.4</v>
      </c>
      <c r="EZ14" s="894"/>
      <c r="FA14" s="894">
        <f>+EY14-EZ14</f>
        <v>4072757.4</v>
      </c>
      <c r="FB14" s="1089">
        <f>+BY14+DATI!GL14+DATI!FY14+DATI!FL14+DATI!EY14+DATI!EL14+DATI!DY14+DATI!DL14+DATI!CY14+DATI!CL14+DATI!BY14+CL14+CY14+DL14+DY14</f>
        <v>3846153.8528083325</v>
      </c>
      <c r="FC14" s="894">
        <f>+FA14-FB14</f>
        <v>226603.54719166737</v>
      </c>
      <c r="FD14" s="895">
        <f>FB14/FA14</f>
        <v>0.9443611477590913</v>
      </c>
      <c r="FE14" s="897">
        <v>2500000</v>
      </c>
      <c r="FF14" s="1092"/>
      <c r="FG14" s="1097"/>
      <c r="FH14" s="1098"/>
      <c r="FI14" s="897">
        <f>+FE14-FF14</f>
        <v>2500000</v>
      </c>
      <c r="FJ14" s="897">
        <v>749203.51</v>
      </c>
      <c r="FK14" s="897">
        <f>+CA14+DATI!GN14+DATI!FN14+DATI!FA14+DATI!EN14+DATI!EA14+DATI!DN14+DATI!DA14+DATI!CN14+DATI!CA14+CN14+DA14+DN14+EA14+DATI!GA14</f>
        <v>1750796.5014085416</v>
      </c>
      <c r="FL14" s="1221">
        <f>+EX14+EK14+DX14+DK14+CX14+CK14+DATI!GX14+DATI!GK14+DATI!FX14+DATI!FK14+DATI!EX14+DATI!EK14+DATI!DX14+DATI!DK14+DATI!CX14+DATI!CK14</f>
        <v>1371193.049562187</v>
      </c>
      <c r="FM14" s="877">
        <f t="shared" si="18"/>
        <v>2500000.0114085414</v>
      </c>
      <c r="FN14" s="877">
        <f>+BZ14+DATI!GM14+DATI!FZ14+DATI!FM14+DATI!EZ14+DATI!EM14+DATI!DZ14+DATI!DM14+DATI!CZ14+DATI!CM14+DATI!BZ14</f>
        <v>2500000.0043254164</v>
      </c>
      <c r="FO14" s="877">
        <f>+FI14-FM14</f>
        <v>-0.011408541351556778</v>
      </c>
      <c r="FP14" s="896">
        <f>+FN14/FI14</f>
        <v>1.0000000017301665</v>
      </c>
      <c r="FQ14" s="899"/>
      <c r="FR14" s="566">
        <v>38231</v>
      </c>
      <c r="FS14" s="655">
        <v>44</v>
      </c>
      <c r="FT14" s="697">
        <v>3.6666666666666665</v>
      </c>
      <c r="FU14" s="441">
        <v>39569.333333333336</v>
      </c>
      <c r="FV14" s="1096" t="s">
        <v>434</v>
      </c>
      <c r="FW14" s="1161">
        <v>339</v>
      </c>
      <c r="FX14" s="1162">
        <v>39967</v>
      </c>
      <c r="FY14" s="974">
        <v>3846153.8528083325</v>
      </c>
      <c r="FZ14" s="974">
        <f>+FY14*0.65</f>
        <v>2500000.0043254164</v>
      </c>
      <c r="GA14" s="974"/>
      <c r="GB14" s="974"/>
      <c r="GC14" s="974"/>
      <c r="GD14" s="974"/>
    </row>
    <row r="15" spans="1:186" s="155" customFormat="1" ht="12" customHeight="1">
      <c r="A15" s="421">
        <v>13</v>
      </c>
      <c r="B15" s="406" t="e">
        <f>IF(#REF!&gt;0,"si","no")</f>
        <v>#REF!</v>
      </c>
      <c r="C15" s="407">
        <v>29</v>
      </c>
      <c r="D15" s="477" t="s">
        <v>290</v>
      </c>
      <c r="E15" s="477" t="s">
        <v>748</v>
      </c>
      <c r="F15" s="477" t="s">
        <v>480</v>
      </c>
      <c r="G15" s="477" t="s">
        <v>1026</v>
      </c>
      <c r="H15" s="820" t="s">
        <v>1189</v>
      </c>
      <c r="I15" s="526" t="s">
        <v>1025</v>
      </c>
      <c r="J15" s="411">
        <v>1878269</v>
      </c>
      <c r="K15" s="410">
        <v>65</v>
      </c>
      <c r="L15" s="410" t="str">
        <f t="shared" si="0"/>
        <v>è</v>
      </c>
      <c r="M15" s="410" t="s">
        <v>793</v>
      </c>
      <c r="N15" s="409">
        <v>67470</v>
      </c>
      <c r="O15" s="409">
        <f t="shared" si="1"/>
        <v>1810799</v>
      </c>
      <c r="P15" s="409">
        <f t="shared" si="2"/>
        <v>362159.80000000005</v>
      </c>
      <c r="Q15" s="411">
        <f t="shared" si="3"/>
        <v>2240428.8</v>
      </c>
      <c r="R15" s="411">
        <f t="shared" si="4"/>
        <v>1220874.85</v>
      </c>
      <c r="S15" s="409">
        <f t="shared" si="5"/>
        <v>235403.87000000002</v>
      </c>
      <c r="T15" s="411">
        <f t="shared" si="6"/>
        <v>1456278.7200000002</v>
      </c>
      <c r="U15" s="411">
        <f t="shared" si="12"/>
        <v>728139.3600000001</v>
      </c>
      <c r="V15" s="411">
        <f t="shared" si="13"/>
        <v>509697.552</v>
      </c>
      <c r="W15" s="409">
        <f t="shared" si="14"/>
        <v>1237836.9120000002</v>
      </c>
      <c r="X15" s="411">
        <f t="shared" si="7"/>
        <v>218441.80800000002</v>
      </c>
      <c r="Y15" s="411">
        <f t="shared" si="8"/>
        <v>657394.1499999999</v>
      </c>
      <c r="Z15" s="411">
        <f t="shared" si="9"/>
        <v>784150.0799999996</v>
      </c>
      <c r="AA15" s="412" t="s">
        <v>794</v>
      </c>
      <c r="AB15" s="413" t="s">
        <v>895</v>
      </c>
      <c r="AC15" s="413" t="s">
        <v>896</v>
      </c>
      <c r="AD15" s="213" t="s">
        <v>797</v>
      </c>
      <c r="AE15" s="213" t="s">
        <v>798</v>
      </c>
      <c r="AF15" s="213" t="s">
        <v>282</v>
      </c>
      <c r="AG15" s="213" t="s">
        <v>285</v>
      </c>
      <c r="AH15" s="213">
        <v>70124</v>
      </c>
      <c r="AI15" s="405">
        <v>93281810726</v>
      </c>
      <c r="AJ15" s="414" t="s">
        <v>1006</v>
      </c>
      <c r="AK15" s="415">
        <v>56</v>
      </c>
      <c r="AL15" s="415">
        <v>231</v>
      </c>
      <c r="AM15" s="412">
        <v>38146</v>
      </c>
      <c r="AN15" s="416">
        <v>38191</v>
      </c>
      <c r="AO15" s="406" t="s">
        <v>1015</v>
      </c>
      <c r="AP15" s="406">
        <v>1641</v>
      </c>
      <c r="AQ15" s="417">
        <v>10</v>
      </c>
      <c r="AR15" s="417">
        <v>9</v>
      </c>
      <c r="AS15" s="677" t="s">
        <v>167</v>
      </c>
      <c r="AT15" s="677" t="s">
        <v>167</v>
      </c>
      <c r="AU15" s="470" t="s">
        <v>295</v>
      </c>
      <c r="AV15" s="471">
        <v>38287</v>
      </c>
      <c r="AW15" s="471">
        <v>38271</v>
      </c>
      <c r="AX15" s="1083">
        <v>38285</v>
      </c>
      <c r="AY15" s="155" t="s">
        <v>286</v>
      </c>
      <c r="AZ15" s="155" t="s">
        <v>418</v>
      </c>
      <c r="BA15" s="155" t="s">
        <v>797</v>
      </c>
      <c r="BB15" s="155" t="s">
        <v>379</v>
      </c>
      <c r="BC15" s="405">
        <v>6946</v>
      </c>
      <c r="BD15" s="155" t="s">
        <v>287</v>
      </c>
      <c r="BE15" s="155" t="s">
        <v>404</v>
      </c>
      <c r="BF15" s="414">
        <v>58243</v>
      </c>
      <c r="BG15" s="471">
        <v>38274</v>
      </c>
      <c r="BH15" s="155" t="s">
        <v>288</v>
      </c>
      <c r="BI15" s="411">
        <f t="shared" si="15"/>
        <v>436883.61600000004</v>
      </c>
      <c r="BJ15" s="411">
        <f t="shared" si="16"/>
        <v>371351.0736</v>
      </c>
      <c r="BK15" s="419">
        <f>Disponibilità!V6</f>
        <v>2002</v>
      </c>
      <c r="BL15" s="411">
        <f t="shared" si="10"/>
        <v>65532.542400000006</v>
      </c>
      <c r="BM15" s="419">
        <f>Disponibilità!X6</f>
        <v>2003</v>
      </c>
      <c r="BN15" s="411">
        <f t="shared" si="11"/>
        <v>152909.2656</v>
      </c>
      <c r="BO15" s="411"/>
      <c r="BP15" s="411"/>
      <c r="BQ15" s="539">
        <v>476</v>
      </c>
      <c r="BR15" s="416">
        <v>38289</v>
      </c>
      <c r="BS15" s="416" t="s">
        <v>154</v>
      </c>
      <c r="BT15" s="711" t="s">
        <v>1110</v>
      </c>
      <c r="BU15" s="838" t="s">
        <v>1051</v>
      </c>
      <c r="BV15" s="435">
        <v>38323</v>
      </c>
      <c r="BW15" s="430">
        <f>371351.08+65532.24</f>
        <v>436883.32</v>
      </c>
      <c r="BX15" s="878">
        <f>371351.08+65532.24</f>
        <v>436883.32</v>
      </c>
      <c r="BY15" s="872"/>
      <c r="BZ15" s="872"/>
      <c r="CA15" s="872"/>
      <c r="CB15" s="872"/>
      <c r="CC15" s="872"/>
      <c r="CD15" s="872"/>
      <c r="CE15" s="872"/>
      <c r="CF15" s="872"/>
      <c r="CG15" s="872"/>
      <c r="CH15" s="872"/>
      <c r="CI15" s="872"/>
      <c r="CJ15" s="872"/>
      <c r="CK15" s="872"/>
      <c r="CL15" s="872"/>
      <c r="CM15" s="872"/>
      <c r="CN15" s="872"/>
      <c r="CO15" s="872"/>
      <c r="CP15" s="872"/>
      <c r="CQ15" s="872"/>
      <c r="CR15" s="872"/>
      <c r="CS15" s="872"/>
      <c r="CT15" s="872"/>
      <c r="CU15" s="872"/>
      <c r="CV15" s="872"/>
      <c r="CW15" s="872"/>
      <c r="CX15" s="872"/>
      <c r="CY15" s="872"/>
      <c r="CZ15" s="872"/>
      <c r="DA15" s="872"/>
      <c r="DB15" s="872"/>
      <c r="DC15" s="872"/>
      <c r="DD15" s="872"/>
      <c r="DE15" s="872"/>
      <c r="DF15" s="872"/>
      <c r="DG15" s="872"/>
      <c r="DH15" s="872"/>
      <c r="DI15" s="872"/>
      <c r="DJ15" s="872"/>
      <c r="DK15" s="872"/>
      <c r="DL15" s="872"/>
      <c r="DM15" s="872"/>
      <c r="DN15" s="872"/>
      <c r="DO15" s="872"/>
      <c r="DP15" s="872"/>
      <c r="DQ15" s="872"/>
      <c r="DR15" s="872"/>
      <c r="DS15" s="872"/>
      <c r="DT15" s="872"/>
      <c r="DU15" s="872"/>
      <c r="DV15" s="872"/>
      <c r="DW15" s="872"/>
      <c r="DX15" s="872"/>
      <c r="DY15" s="872"/>
      <c r="DZ15" s="872"/>
      <c r="EA15" s="872"/>
      <c r="EB15" s="872"/>
      <c r="EC15" s="872"/>
      <c r="ED15" s="872"/>
      <c r="EE15" s="872"/>
      <c r="EF15" s="872"/>
      <c r="EG15" s="872"/>
      <c r="EH15" s="872"/>
      <c r="EI15" s="872"/>
      <c r="EJ15" s="872"/>
      <c r="EK15" s="872"/>
      <c r="EL15" s="872"/>
      <c r="EM15" s="872"/>
      <c r="EN15" s="872"/>
      <c r="EO15" s="872"/>
      <c r="EP15" s="872"/>
      <c r="EQ15" s="872"/>
      <c r="ER15" s="872"/>
      <c r="ES15" s="872"/>
      <c r="ET15" s="872"/>
      <c r="EU15" s="872"/>
      <c r="EV15" s="872"/>
      <c r="EW15" s="872"/>
      <c r="EX15" s="872"/>
      <c r="EY15" s="894">
        <f t="shared" si="17"/>
        <v>2240428.8</v>
      </c>
      <c r="EZ15" s="894">
        <f>+EY15-FA15</f>
        <v>591259.3799999999</v>
      </c>
      <c r="FA15" s="894">
        <v>1649169.42</v>
      </c>
      <c r="FB15" s="1089">
        <f>+BY15+DATI!GL15+DATI!FY15+DATI!FL15+DATI!EY15+DATI!EL15+DATI!DY15+DATI!DL15+DATI!CY15+DATI!CL15+DATI!BY15+CL15+CY15+DL15+DY15</f>
        <v>1649169.42</v>
      </c>
      <c r="FC15" s="894">
        <f>+FA15-FB15</f>
        <v>0</v>
      </c>
      <c r="FD15" s="895">
        <f>FB15/FA15</f>
        <v>1</v>
      </c>
      <c r="FE15" s="897">
        <f t="shared" si="21"/>
        <v>1456278.7200000002</v>
      </c>
      <c r="FF15" s="897">
        <f>1456278.72-1071960.12</f>
        <v>384318.59999999986</v>
      </c>
      <c r="FG15" s="1097">
        <v>647</v>
      </c>
      <c r="FH15" s="1098">
        <v>39793</v>
      </c>
      <c r="FI15" s="897">
        <f>+FE15-FF15</f>
        <v>1071960.1200000003</v>
      </c>
      <c r="FJ15" s="897">
        <f aca="true" t="shared" si="24" ref="FJ15:FJ26">+BX15</f>
        <v>436883.32</v>
      </c>
      <c r="FK15" s="897">
        <f>+CA15+DATI!GN15+DATI!FN15+DATI!FA15+DATI!EN15+DATI!EA15+DATI!DN15+DATI!DA15+DATI!CN15+DATI!CA15+CN15+DA15+DN15+EA15</f>
        <v>635076.5061875</v>
      </c>
      <c r="FL15" s="1221">
        <f>+EX15+EK15+DX15+DK15+CX15+CK15+DATI!GX15+DATI!GK15+DATI!FX15+DATI!FK15+DATI!EX15+DATI!EK15+DATI!DX15+DATI!DK15+DATI!CX15+DATI!CK15</f>
        <v>635076.5043125001</v>
      </c>
      <c r="FM15" s="877">
        <f t="shared" si="18"/>
        <v>1071959.8261875</v>
      </c>
      <c r="FN15" s="877">
        <f>+BZ15+DATI!GM15+DATI!FZ15+DATI!FM15+DATI!EZ15+DATI!EM15+DATI!DZ15+DATI!DM15+DATI!CZ15+DATI!CM15+DATI!BZ15</f>
        <v>1071960.121</v>
      </c>
      <c r="FO15" s="877">
        <f>+FI15-FM15</f>
        <v>0.2938125003129244</v>
      </c>
      <c r="FP15" s="896">
        <f>+FN15/FI15</f>
        <v>1.0000000009328702</v>
      </c>
      <c r="FQ15" s="899"/>
      <c r="FR15" s="566">
        <v>38077</v>
      </c>
      <c r="FS15" s="655">
        <f>36+6+3</f>
        <v>45</v>
      </c>
      <c r="FT15" s="697">
        <f t="shared" si="23"/>
        <v>3.75</v>
      </c>
      <c r="FU15" s="441">
        <f t="shared" si="19"/>
        <v>39445.75</v>
      </c>
      <c r="FV15" s="1096" t="s">
        <v>434</v>
      </c>
      <c r="FW15" s="1161">
        <v>674</v>
      </c>
      <c r="FX15" s="1162">
        <v>39793</v>
      </c>
      <c r="FY15" s="974">
        <v>1649169.42</v>
      </c>
      <c r="FZ15" s="974">
        <f>+FY15*0.65</f>
        <v>1071960.123</v>
      </c>
      <c r="GA15" s="974"/>
      <c r="GB15" s="974"/>
      <c r="GC15" s="974"/>
      <c r="GD15" s="974"/>
    </row>
    <row r="16" spans="1:186" s="429" customFormat="1" ht="12" customHeight="1">
      <c r="A16" s="421">
        <v>14</v>
      </c>
      <c r="B16" s="406" t="s">
        <v>177</v>
      </c>
      <c r="C16" s="433">
        <v>30</v>
      </c>
      <c r="D16" s="474" t="s">
        <v>1105</v>
      </c>
      <c r="E16" s="474" t="s">
        <v>900</v>
      </c>
      <c r="F16" s="855"/>
      <c r="G16" s="474" t="s">
        <v>1379</v>
      </c>
      <c r="H16" s="821" t="s">
        <v>1190</v>
      </c>
      <c r="I16" s="529" t="s">
        <v>1198</v>
      </c>
      <c r="J16" s="444">
        <v>2136920</v>
      </c>
      <c r="K16" s="421">
        <v>65</v>
      </c>
      <c r="L16" s="410" t="str">
        <f t="shared" si="0"/>
        <v>è</v>
      </c>
      <c r="M16" s="410" t="s">
        <v>793</v>
      </c>
      <c r="N16" s="443">
        <v>320366</v>
      </c>
      <c r="O16" s="443">
        <f t="shared" si="1"/>
        <v>1816554</v>
      </c>
      <c r="P16" s="443">
        <f t="shared" si="2"/>
        <v>363310.80000000005</v>
      </c>
      <c r="Q16" s="411">
        <f t="shared" si="3"/>
        <v>2500230.8</v>
      </c>
      <c r="R16" s="444">
        <f t="shared" si="4"/>
        <v>1388998</v>
      </c>
      <c r="S16" s="443">
        <f t="shared" si="5"/>
        <v>236152.02000000005</v>
      </c>
      <c r="T16" s="444">
        <f t="shared" si="6"/>
        <v>1625150.02</v>
      </c>
      <c r="U16" s="411">
        <f t="shared" si="12"/>
        <v>812575.01</v>
      </c>
      <c r="V16" s="411">
        <f t="shared" si="13"/>
        <v>568802.507</v>
      </c>
      <c r="W16" s="443">
        <f t="shared" si="14"/>
        <v>1381377.517</v>
      </c>
      <c r="X16" s="444">
        <f t="shared" si="7"/>
        <v>243772.503</v>
      </c>
      <c r="Y16" s="411">
        <f t="shared" si="8"/>
        <v>747922</v>
      </c>
      <c r="Z16" s="411">
        <f t="shared" si="9"/>
        <v>875080.7799999998</v>
      </c>
      <c r="AA16" s="437" t="s">
        <v>794</v>
      </c>
      <c r="AB16" s="439" t="s">
        <v>895</v>
      </c>
      <c r="AC16" s="439" t="s">
        <v>901</v>
      </c>
      <c r="AD16" s="421" t="s">
        <v>797</v>
      </c>
      <c r="AE16" s="421" t="s">
        <v>798</v>
      </c>
      <c r="AF16" s="421" t="s">
        <v>37</v>
      </c>
      <c r="AG16" s="421">
        <v>86</v>
      </c>
      <c r="AH16" s="421">
        <v>70124</v>
      </c>
      <c r="AI16" s="421">
        <v>93069740723</v>
      </c>
      <c r="AJ16" s="440" t="s">
        <v>922</v>
      </c>
      <c r="AK16" s="421">
        <v>55</v>
      </c>
      <c r="AL16" s="421">
        <v>330</v>
      </c>
      <c r="AM16" s="445">
        <v>38205</v>
      </c>
      <c r="AN16" s="445">
        <v>38246</v>
      </c>
      <c r="AO16" s="406" t="s">
        <v>176</v>
      </c>
      <c r="AP16" s="406">
        <v>1803</v>
      </c>
      <c r="AQ16" s="421">
        <v>36</v>
      </c>
      <c r="AR16" s="421">
        <v>31</v>
      </c>
      <c r="AS16" s="679" t="s">
        <v>173</v>
      </c>
      <c r="AT16" s="679"/>
      <c r="AU16" s="472" t="s">
        <v>295</v>
      </c>
      <c r="AV16" s="473">
        <v>38321</v>
      </c>
      <c r="AW16" s="473">
        <v>38302</v>
      </c>
      <c r="AX16" s="1082">
        <v>38653</v>
      </c>
      <c r="AY16" s="474" t="s">
        <v>108</v>
      </c>
      <c r="AZ16" s="474" t="s">
        <v>109</v>
      </c>
      <c r="BA16" s="474" t="s">
        <v>797</v>
      </c>
      <c r="BB16" s="474" t="s">
        <v>111</v>
      </c>
      <c r="BC16" s="439" t="s">
        <v>1308</v>
      </c>
      <c r="BD16" s="474" t="s">
        <v>110</v>
      </c>
      <c r="BE16" s="474"/>
      <c r="BF16" s="675" t="s">
        <v>1199</v>
      </c>
      <c r="BG16" s="473">
        <v>38378</v>
      </c>
      <c r="BH16" s="474" t="s">
        <v>1200</v>
      </c>
      <c r="BI16" s="411">
        <f t="shared" si="15"/>
        <v>487545.006</v>
      </c>
      <c r="BJ16" s="411">
        <f t="shared" si="16"/>
        <v>414413.2551</v>
      </c>
      <c r="BK16" s="479" t="s">
        <v>1104</v>
      </c>
      <c r="BL16" s="411">
        <f t="shared" si="10"/>
        <v>73131.7509</v>
      </c>
      <c r="BM16" s="479" t="s">
        <v>1104</v>
      </c>
      <c r="BN16" s="411">
        <f t="shared" si="11"/>
        <v>170640.75209999998</v>
      </c>
      <c r="BO16" s="411"/>
      <c r="BP16" s="411"/>
      <c r="BQ16" s="540">
        <v>1866</v>
      </c>
      <c r="BR16" s="445">
        <v>38678</v>
      </c>
      <c r="BS16" s="421" t="s">
        <v>154</v>
      </c>
      <c r="BT16" s="537"/>
      <c r="BU16" s="838" t="s">
        <v>22</v>
      </c>
      <c r="BV16" s="416">
        <v>38698</v>
      </c>
      <c r="BW16" s="430">
        <f>414413.26+73131.75</f>
        <v>487545.01</v>
      </c>
      <c r="BX16" s="878">
        <f>414413.26+73131.75</f>
        <v>487545.01</v>
      </c>
      <c r="BY16" s="446">
        <v>176158.36</v>
      </c>
      <c r="BZ16" s="409">
        <f>(BY16*0.65)</f>
        <v>114502.934</v>
      </c>
      <c r="CA16" s="409">
        <f>BZ16-(BZ16*0.375)</f>
        <v>71564.33374999999</v>
      </c>
      <c r="CB16" s="409">
        <f>CA16*0.85</f>
        <v>60829.68368749999</v>
      </c>
      <c r="CC16" s="409">
        <f>CA16*0.15</f>
        <v>10734.650062499999</v>
      </c>
      <c r="CD16" s="409">
        <f>CA16*0.35</f>
        <v>25047.516812499995</v>
      </c>
      <c r="CE16" s="542">
        <v>0</v>
      </c>
      <c r="CF16" s="542">
        <v>0</v>
      </c>
      <c r="CG16" s="539">
        <v>242</v>
      </c>
      <c r="CH16" s="416">
        <v>39637</v>
      </c>
      <c r="CI16" s="707" t="s">
        <v>403</v>
      </c>
      <c r="CJ16" s="872"/>
      <c r="CK16" s="872">
        <f>+CA16</f>
        <v>71564.33374999999</v>
      </c>
      <c r="CL16" s="542">
        <v>154016.67</v>
      </c>
      <c r="CM16" s="409">
        <f>(CL16*0.65)</f>
        <v>100110.83550000002</v>
      </c>
      <c r="CN16" s="409">
        <f>CM16-(CM16*0.375)</f>
        <v>62569.27218750001</v>
      </c>
      <c r="CO16" s="409">
        <f>CN16*0.85</f>
        <v>53183.88135937501</v>
      </c>
      <c r="CP16" s="409">
        <f>CN16*0.15</f>
        <v>9385.390828125002</v>
      </c>
      <c r="CQ16" s="409">
        <f>CN16*0.35</f>
        <v>21899.245265625003</v>
      </c>
      <c r="CR16" s="542">
        <v>0</v>
      </c>
      <c r="CS16" s="542">
        <v>0</v>
      </c>
      <c r="CT16" s="539">
        <v>196</v>
      </c>
      <c r="CU16" s="416">
        <v>39590</v>
      </c>
      <c r="CV16" s="708" t="s">
        <v>403</v>
      </c>
      <c r="CW16" s="872"/>
      <c r="CX16" s="872">
        <f>+CN16</f>
        <v>62569.27218750001</v>
      </c>
      <c r="CY16" s="542">
        <v>110000</v>
      </c>
      <c r="CZ16" s="409">
        <f>(CY16*0.65)</f>
        <v>71500</v>
      </c>
      <c r="DA16" s="409">
        <f>CZ16</f>
        <v>71500</v>
      </c>
      <c r="DB16" s="409">
        <f>DA16*0.85</f>
        <v>60775</v>
      </c>
      <c r="DC16" s="409">
        <f>DA16*0.15</f>
        <v>10725</v>
      </c>
      <c r="DD16" s="409">
        <f>DA16*0.35</f>
        <v>25025</v>
      </c>
      <c r="DE16" s="542">
        <v>0</v>
      </c>
      <c r="DF16" s="542">
        <v>0</v>
      </c>
      <c r="DG16" s="581">
        <v>242</v>
      </c>
      <c r="DH16" s="893">
        <v>39637</v>
      </c>
      <c r="DI16" s="542" t="s">
        <v>33</v>
      </c>
      <c r="DJ16" s="893">
        <v>39678</v>
      </c>
      <c r="DK16" s="872">
        <f>+DA16</f>
        <v>71500</v>
      </c>
      <c r="DL16" s="542">
        <v>207147.69</v>
      </c>
      <c r="DM16" s="409">
        <f>(DL16*0.65)</f>
        <v>134645.99850000002</v>
      </c>
      <c r="DN16" s="409">
        <f>DM16</f>
        <v>134645.99850000002</v>
      </c>
      <c r="DO16" s="409">
        <f>DN16*0.85</f>
        <v>114449.098725</v>
      </c>
      <c r="DP16" s="409">
        <f>DN16*0.15</f>
        <v>20196.899775</v>
      </c>
      <c r="DQ16" s="409">
        <f>DN16*0.35</f>
        <v>47126.099475</v>
      </c>
      <c r="DR16" s="542">
        <v>0</v>
      </c>
      <c r="DS16" s="542">
        <v>0</v>
      </c>
      <c r="DT16" s="1103">
        <v>294</v>
      </c>
      <c r="DU16" s="1102">
        <v>39661</v>
      </c>
      <c r="DV16" s="708" t="s">
        <v>403</v>
      </c>
      <c r="DW16" s="872"/>
      <c r="DX16" s="872">
        <f>+DN16</f>
        <v>134645.99850000002</v>
      </c>
      <c r="DY16" s="542">
        <v>73752.18</v>
      </c>
      <c r="DZ16" s="409">
        <f>(DY16*0.65)</f>
        <v>47938.916999999994</v>
      </c>
      <c r="EA16" s="409">
        <f>DZ16</f>
        <v>47938.916999999994</v>
      </c>
      <c r="EB16" s="409">
        <f>EA16*0.85</f>
        <v>40748.07945</v>
      </c>
      <c r="EC16" s="409">
        <f>EA16*0.15</f>
        <v>7190.837549999999</v>
      </c>
      <c r="ED16" s="409">
        <f>EA16*0.35</f>
        <v>16778.620949999997</v>
      </c>
      <c r="EE16" s="542">
        <v>0</v>
      </c>
      <c r="EF16" s="542">
        <v>0</v>
      </c>
      <c r="EG16" s="1103">
        <v>335</v>
      </c>
      <c r="EH16" s="1102">
        <v>39696</v>
      </c>
      <c r="EI16" s="542" t="s">
        <v>357</v>
      </c>
      <c r="EJ16" s="893">
        <v>39716</v>
      </c>
      <c r="EK16" s="872">
        <f>+EA16</f>
        <v>47938.916999999994</v>
      </c>
      <c r="EL16" s="542">
        <v>134530.68</v>
      </c>
      <c r="EM16" s="409">
        <f>(EL16*0.65)</f>
        <v>87444.942</v>
      </c>
      <c r="EN16" s="409">
        <f>EM16-6187.45</f>
        <v>81257.492</v>
      </c>
      <c r="EO16" s="409">
        <f>EN16*0.85</f>
        <v>69068.8682</v>
      </c>
      <c r="EP16" s="409">
        <f>EN16*0.15</f>
        <v>12188.6238</v>
      </c>
      <c r="EQ16" s="409">
        <f>EN16*0.35</f>
        <v>28440.122199999998</v>
      </c>
      <c r="ER16" s="542">
        <v>0</v>
      </c>
      <c r="ES16" s="542">
        <v>0</v>
      </c>
      <c r="ET16" s="1164">
        <v>63</v>
      </c>
      <c r="EU16" s="1102">
        <v>39849</v>
      </c>
      <c r="EV16" s="542" t="s">
        <v>237</v>
      </c>
      <c r="EW16" s="893">
        <v>39856</v>
      </c>
      <c r="EX16" s="872"/>
      <c r="EY16" s="894">
        <f t="shared" si="17"/>
        <v>2500230.8</v>
      </c>
      <c r="EZ16" s="894"/>
      <c r="FA16" s="894">
        <f>+EY16</f>
        <v>2500230.8</v>
      </c>
      <c r="FB16" s="1089">
        <f>+DATI!BY16+DATI!CL16+DATI!CY16+DATI!DL16+DATI!DY16+DATI!EL16+DATI!EY16+DATI!FL16+DATI!FY16+DATI!GL16+DATI2!BY16+DATI2!CL16+DATI2!CY16+DATI2!DL16+DATI2!DY16+DATI2!EL16</f>
        <v>2500230.7920000004</v>
      </c>
      <c r="FC16" s="894">
        <f>+EY16-FB16</f>
        <v>0.007999999448657036</v>
      </c>
      <c r="FD16" s="895">
        <f t="shared" si="20"/>
        <v>0.9999999968002956</v>
      </c>
      <c r="FE16" s="897">
        <f t="shared" si="21"/>
        <v>1625150.02</v>
      </c>
      <c r="FF16" s="897"/>
      <c r="FG16" s="1097"/>
      <c r="FH16" s="1098"/>
      <c r="FI16" s="897">
        <f>+FE16</f>
        <v>1625150.02</v>
      </c>
      <c r="FJ16" s="897">
        <f t="shared" si="24"/>
        <v>487545.01</v>
      </c>
      <c r="FK16" s="897">
        <f>+CA16+DATI!GN16+DATI!FN16+DATI!FA16+DATI!EN16+DATI!EA16+DATI!DN16+DATI!DA16+DATI!CN16+DATI!CA16+CN16+DA16+DN16+EA16+DATI!GA16+EN16</f>
        <v>1137605.0058125001</v>
      </c>
      <c r="FL16" s="1221">
        <f>+EX16+EK16+DX16+DK16+CX16+CK16+DATI!GX16+DATI!GK16+DATI!FX16+DATI!FK16+DATI!EX16+DATI!EK16+DATI!DX16+DATI!DK16+DATI!CX16+DATI!CK16</f>
        <v>1056347.5138125</v>
      </c>
      <c r="FM16" s="877">
        <f t="shared" si="18"/>
        <v>1625150.0158125001</v>
      </c>
      <c r="FN16" s="877">
        <f>+BZ16+DATI!GM16+DATI!FZ16+DATI!FM16+DATI!EZ16+DATI!EM16+DATI!DZ16+DATI!DM16+DATI!CZ16+DATI!CM16+DATI!BZ16+CM16+CZ16+DM16+DZ16+EM16</f>
        <v>1625150.0148</v>
      </c>
      <c r="FO16" s="877">
        <f>+FE16-FM16</f>
        <v>0.004187499871477485</v>
      </c>
      <c r="FP16" s="896">
        <f>+FN16/FE16</f>
        <v>0.9999999968002954</v>
      </c>
      <c r="FQ16" s="899"/>
      <c r="FR16" s="568">
        <v>38316</v>
      </c>
      <c r="FS16" s="571">
        <f>36+7+3.2</f>
        <v>46.2</v>
      </c>
      <c r="FT16" s="697">
        <f t="shared" si="23"/>
        <v>3.85</v>
      </c>
      <c r="FU16" s="441">
        <f t="shared" si="19"/>
        <v>39721.25</v>
      </c>
      <c r="FV16" s="1096" t="s">
        <v>434</v>
      </c>
      <c r="FW16" s="1161">
        <v>63</v>
      </c>
      <c r="FX16" s="1162">
        <v>39849</v>
      </c>
      <c r="FY16" s="974">
        <v>2500230.7920000004</v>
      </c>
      <c r="FZ16" s="409">
        <v>1625150.02</v>
      </c>
      <c r="GA16" s="974"/>
      <c r="GB16" s="974"/>
      <c r="GC16" s="974"/>
      <c r="GD16" s="974"/>
    </row>
    <row r="17" spans="1:186" s="155" customFormat="1" ht="12" customHeight="1">
      <c r="A17" s="421">
        <v>15</v>
      </c>
      <c r="B17" s="406" t="e">
        <f>IF(#REF!&gt;0,"si","no")</f>
        <v>#REF!</v>
      </c>
      <c r="C17" s="433">
        <v>31</v>
      </c>
      <c r="D17" s="474" t="s">
        <v>884</v>
      </c>
      <c r="E17" s="474" t="s">
        <v>1193</v>
      </c>
      <c r="F17" s="474" t="s">
        <v>480</v>
      </c>
      <c r="G17" s="474" t="s">
        <v>1192</v>
      </c>
      <c r="H17" s="821" t="s">
        <v>1191</v>
      </c>
      <c r="I17" s="529" t="s">
        <v>103</v>
      </c>
      <c r="J17" s="444">
        <v>438880</v>
      </c>
      <c r="K17" s="421">
        <v>65</v>
      </c>
      <c r="L17" s="410" t="str">
        <f t="shared" si="0"/>
        <v>è</v>
      </c>
      <c r="M17" s="410" t="s">
        <v>793</v>
      </c>
      <c r="N17" s="443">
        <v>72000</v>
      </c>
      <c r="O17" s="443">
        <f t="shared" si="1"/>
        <v>366880</v>
      </c>
      <c r="P17" s="443">
        <f t="shared" si="2"/>
        <v>73376</v>
      </c>
      <c r="Q17" s="411">
        <f t="shared" si="3"/>
        <v>512256</v>
      </c>
      <c r="R17" s="444">
        <f t="shared" si="4"/>
        <v>285272</v>
      </c>
      <c r="S17" s="443">
        <f t="shared" si="5"/>
        <v>47694.4</v>
      </c>
      <c r="T17" s="444">
        <f t="shared" si="6"/>
        <v>332966.4</v>
      </c>
      <c r="U17" s="411">
        <f t="shared" si="12"/>
        <v>166483.2</v>
      </c>
      <c r="V17" s="411">
        <f t="shared" si="13"/>
        <v>116538.24</v>
      </c>
      <c r="W17" s="443">
        <f t="shared" si="14"/>
        <v>283021.44</v>
      </c>
      <c r="X17" s="444">
        <f t="shared" si="7"/>
        <v>49944.96</v>
      </c>
      <c r="Y17" s="411">
        <f t="shared" si="8"/>
        <v>153608</v>
      </c>
      <c r="Z17" s="411">
        <f t="shared" si="9"/>
        <v>179289.59999999998</v>
      </c>
      <c r="AA17" s="437" t="s">
        <v>794</v>
      </c>
      <c r="AB17" s="438" t="s">
        <v>795</v>
      </c>
      <c r="AC17" s="439" t="s">
        <v>886</v>
      </c>
      <c r="AD17" s="421" t="s">
        <v>797</v>
      </c>
      <c r="AE17" s="421" t="s">
        <v>798</v>
      </c>
      <c r="AF17" s="421" t="s">
        <v>887</v>
      </c>
      <c r="AG17" s="421" t="s">
        <v>888</v>
      </c>
      <c r="AH17" s="421">
        <v>70126</v>
      </c>
      <c r="AI17" s="439" t="s">
        <v>889</v>
      </c>
      <c r="AJ17" s="440" t="s">
        <v>922</v>
      </c>
      <c r="AK17" s="421">
        <v>59</v>
      </c>
      <c r="AL17" s="421">
        <v>251</v>
      </c>
      <c r="AM17" s="445">
        <v>38166</v>
      </c>
      <c r="AN17" s="445">
        <v>38191</v>
      </c>
      <c r="AO17" s="406" t="s">
        <v>6</v>
      </c>
      <c r="AP17" s="406">
        <v>1663</v>
      </c>
      <c r="AQ17" s="675" t="s">
        <v>76</v>
      </c>
      <c r="AR17" s="421">
        <v>20</v>
      </c>
      <c r="AS17" s="679" t="s">
        <v>211</v>
      </c>
      <c r="AT17" s="679" t="s">
        <v>211</v>
      </c>
      <c r="AU17" s="472" t="s">
        <v>295</v>
      </c>
      <c r="AV17" s="476">
        <v>38307</v>
      </c>
      <c r="AW17" s="476">
        <v>38285</v>
      </c>
      <c r="AX17" s="1081">
        <v>38316</v>
      </c>
      <c r="AY17" s="477" t="s">
        <v>1085</v>
      </c>
      <c r="AZ17" s="477" t="s">
        <v>1086</v>
      </c>
      <c r="BA17" s="477" t="s">
        <v>797</v>
      </c>
      <c r="BB17" s="477" t="s">
        <v>1087</v>
      </c>
      <c r="BC17" s="406" t="s">
        <v>1088</v>
      </c>
      <c r="BD17" s="477" t="s">
        <v>1089</v>
      </c>
      <c r="BE17" s="477" t="s">
        <v>621</v>
      </c>
      <c r="BF17" s="854" t="s">
        <v>104</v>
      </c>
      <c r="BG17" s="476">
        <v>38314</v>
      </c>
      <c r="BH17" s="477" t="s">
        <v>105</v>
      </c>
      <c r="BI17" s="411">
        <f t="shared" si="15"/>
        <v>99889.92</v>
      </c>
      <c r="BJ17" s="411">
        <f t="shared" si="16"/>
        <v>84906.432</v>
      </c>
      <c r="BK17" s="479" t="s">
        <v>106</v>
      </c>
      <c r="BL17" s="411">
        <f t="shared" si="10"/>
        <v>14983.488</v>
      </c>
      <c r="BM17" s="419">
        <v>2001</v>
      </c>
      <c r="BN17" s="411">
        <f t="shared" si="11"/>
        <v>34961.471999999994</v>
      </c>
      <c r="BO17" s="411"/>
      <c r="BP17" s="411"/>
      <c r="BQ17" s="410">
        <v>640</v>
      </c>
      <c r="BR17" s="441">
        <v>38320</v>
      </c>
      <c r="BS17" s="406" t="s">
        <v>154</v>
      </c>
      <c r="BT17" s="539">
        <v>5381</v>
      </c>
      <c r="BU17" s="838" t="s">
        <v>1166</v>
      </c>
      <c r="BV17" s="416">
        <v>38336</v>
      </c>
      <c r="BW17" s="430">
        <f>84906.43+14983.49</f>
        <v>99889.92</v>
      </c>
      <c r="BX17" s="878">
        <f>84906.43+14983.49</f>
        <v>99889.92</v>
      </c>
      <c r="BY17" s="871"/>
      <c r="BZ17" s="871"/>
      <c r="CA17" s="871"/>
      <c r="CB17" s="871"/>
      <c r="CC17" s="871"/>
      <c r="CD17" s="871"/>
      <c r="CE17" s="871"/>
      <c r="CF17" s="871"/>
      <c r="CG17" s="871"/>
      <c r="CH17" s="871"/>
      <c r="CI17" s="871"/>
      <c r="CJ17" s="871"/>
      <c r="CK17" s="871"/>
      <c r="CL17" s="871"/>
      <c r="CM17" s="871"/>
      <c r="CN17" s="871"/>
      <c r="CO17" s="871"/>
      <c r="CP17" s="871"/>
      <c r="CQ17" s="871"/>
      <c r="CR17" s="871"/>
      <c r="CS17" s="871"/>
      <c r="CT17" s="871"/>
      <c r="CU17" s="871"/>
      <c r="CV17" s="871"/>
      <c r="CW17" s="871"/>
      <c r="CX17" s="871"/>
      <c r="CY17" s="871"/>
      <c r="CZ17" s="871"/>
      <c r="DA17" s="871"/>
      <c r="DB17" s="871"/>
      <c r="DC17" s="871"/>
      <c r="DD17" s="871"/>
      <c r="DE17" s="871"/>
      <c r="DF17" s="871"/>
      <c r="DG17" s="871"/>
      <c r="DH17" s="871"/>
      <c r="DI17" s="871"/>
      <c r="DJ17" s="871"/>
      <c r="DK17" s="871"/>
      <c r="DL17" s="871"/>
      <c r="DM17" s="871"/>
      <c r="DN17" s="871"/>
      <c r="DO17" s="871"/>
      <c r="DP17" s="871"/>
      <c r="DQ17" s="871"/>
      <c r="DR17" s="871"/>
      <c r="DS17" s="871"/>
      <c r="DT17" s="871"/>
      <c r="DU17" s="871"/>
      <c r="DV17" s="871"/>
      <c r="DW17" s="871"/>
      <c r="DX17" s="871"/>
      <c r="DY17" s="871"/>
      <c r="DZ17" s="871"/>
      <c r="EA17" s="871"/>
      <c r="EB17" s="871"/>
      <c r="EC17" s="871"/>
      <c r="ED17" s="871"/>
      <c r="EE17" s="871"/>
      <c r="EF17" s="871"/>
      <c r="EG17" s="871"/>
      <c r="EH17" s="871"/>
      <c r="EI17" s="871"/>
      <c r="EJ17" s="871"/>
      <c r="EK17" s="871"/>
      <c r="EL17" s="871"/>
      <c r="EM17" s="871"/>
      <c r="EN17" s="871"/>
      <c r="EO17" s="871"/>
      <c r="EP17" s="871"/>
      <c r="EQ17" s="871"/>
      <c r="ER17" s="871"/>
      <c r="ES17" s="871"/>
      <c r="ET17" s="871"/>
      <c r="EU17" s="871"/>
      <c r="EV17" s="871"/>
      <c r="EW17" s="871"/>
      <c r="EX17" s="871"/>
      <c r="EY17" s="894">
        <f t="shared" si="17"/>
        <v>512256</v>
      </c>
      <c r="EZ17" s="894">
        <f>+EY17-FB17</f>
        <v>7772.880999999936</v>
      </c>
      <c r="FA17" s="894">
        <f>+EY17</f>
        <v>512256</v>
      </c>
      <c r="FB17" s="1089">
        <f>+DATI!BY17+DATI!CL17+DATI!CY17+DATI!DL17+DATI!DY17+DATI!EL17</f>
        <v>504483.11900000006</v>
      </c>
      <c r="FC17" s="894">
        <f>+EY17-FB17-EZ17</f>
        <v>0</v>
      </c>
      <c r="FD17" s="895">
        <f t="shared" si="20"/>
        <v>0.9848261787075213</v>
      </c>
      <c r="FE17" s="897">
        <f t="shared" si="21"/>
        <v>332966.4</v>
      </c>
      <c r="FF17" s="897">
        <v>5052.37</v>
      </c>
      <c r="FG17" s="1097">
        <v>109</v>
      </c>
      <c r="FH17" s="1098">
        <v>39883</v>
      </c>
      <c r="FI17" s="897">
        <f>+FE17</f>
        <v>332966.4</v>
      </c>
      <c r="FJ17" s="897">
        <f t="shared" si="24"/>
        <v>99889.92</v>
      </c>
      <c r="FK17" s="897">
        <f>+CA17+DATI!EN17+DATI!EA17+DATI!DN17+DATI!DA17+DATI!CN17+DATI!CA17+CN17+DA17+DN17+EA17</f>
        <v>228024.10359375</v>
      </c>
      <c r="FL17" s="1221">
        <f>+EX17+EK17+DX17+DK17+CX17+CK17+DATI!GX17+DATI!GK17+DATI!FX17+DATI!FK17+DATI!EX17+DATI!EK17+DATI!DX17+DATI!DK17+DATI!CX17+DATI!CK17</f>
        <v>228024.10556250002</v>
      </c>
      <c r="FM17" s="877">
        <f t="shared" si="18"/>
        <v>327914.02359375</v>
      </c>
      <c r="FN17" s="877">
        <f>+BZ17+DATI!EM17+DATI!DZ17+DATI!DM17+DATI!CZ17+DATI!CM17+DATI!BZ17</f>
        <v>327914.02735</v>
      </c>
      <c r="FO17" s="877">
        <f>+FE17-FM17</f>
        <v>5052.376406249998</v>
      </c>
      <c r="FP17" s="896">
        <f>+FN17/FE17</f>
        <v>0.9848261787075211</v>
      </c>
      <c r="FQ17" s="899"/>
      <c r="FR17" s="569">
        <v>38387</v>
      </c>
      <c r="FS17" s="453">
        <f>30+6</f>
        <v>36</v>
      </c>
      <c r="FT17" s="697">
        <f t="shared" si="23"/>
        <v>3</v>
      </c>
      <c r="FU17" s="441">
        <f t="shared" si="19"/>
        <v>39482</v>
      </c>
      <c r="FV17" s="1096" t="s">
        <v>434</v>
      </c>
      <c r="FW17" s="1161">
        <v>109</v>
      </c>
      <c r="FX17" s="1162">
        <v>39883</v>
      </c>
      <c r="FY17" s="974">
        <v>504483.11900000006</v>
      </c>
      <c r="FZ17" s="974">
        <f>+FY17*0.65</f>
        <v>327914.02735000005</v>
      </c>
      <c r="GA17" s="974"/>
      <c r="GB17" s="974"/>
      <c r="GC17" s="974"/>
      <c r="GD17" s="974"/>
    </row>
    <row r="18" spans="1:186" s="475" customFormat="1" ht="12" customHeight="1">
      <c r="A18" s="421">
        <v>16</v>
      </c>
      <c r="B18" s="406" t="e">
        <f>IF(#REF!&gt;0,"si","no")</f>
        <v>#REF!</v>
      </c>
      <c r="C18" s="422">
        <v>32</v>
      </c>
      <c r="D18" s="475" t="s">
        <v>388</v>
      </c>
      <c r="E18" s="477" t="s">
        <v>749</v>
      </c>
      <c r="F18" s="477"/>
      <c r="G18" s="477" t="s">
        <v>359</v>
      </c>
      <c r="H18" s="820" t="s">
        <v>1183</v>
      </c>
      <c r="I18" s="527" t="s">
        <v>425</v>
      </c>
      <c r="J18" s="436">
        <v>934200</v>
      </c>
      <c r="K18" s="415">
        <v>65</v>
      </c>
      <c r="L18" s="410" t="str">
        <f t="shared" si="0"/>
        <v>è</v>
      </c>
      <c r="M18" s="410" t="s">
        <v>793</v>
      </c>
      <c r="N18" s="423">
        <v>535500</v>
      </c>
      <c r="O18" s="409">
        <f t="shared" si="1"/>
        <v>398700</v>
      </c>
      <c r="P18" s="409">
        <f t="shared" si="2"/>
        <v>79740</v>
      </c>
      <c r="Q18" s="411">
        <f t="shared" si="3"/>
        <v>1013940</v>
      </c>
      <c r="R18" s="411">
        <f t="shared" si="4"/>
        <v>607230</v>
      </c>
      <c r="S18" s="409">
        <f t="shared" si="5"/>
        <v>51831</v>
      </c>
      <c r="T18" s="411">
        <f t="shared" si="6"/>
        <v>659061</v>
      </c>
      <c r="U18" s="411">
        <f t="shared" si="12"/>
        <v>329530.5</v>
      </c>
      <c r="V18" s="411">
        <f t="shared" si="13"/>
        <v>230671.34999999998</v>
      </c>
      <c r="W18" s="409">
        <f t="shared" si="14"/>
        <v>560201.85</v>
      </c>
      <c r="X18" s="411">
        <f t="shared" si="7"/>
        <v>98859.15</v>
      </c>
      <c r="Y18" s="411">
        <f t="shared" si="8"/>
        <v>326970</v>
      </c>
      <c r="Z18" s="411">
        <f t="shared" si="9"/>
        <v>354879</v>
      </c>
      <c r="AA18" s="412" t="s">
        <v>794</v>
      </c>
      <c r="AB18" s="413" t="s">
        <v>795</v>
      </c>
      <c r="AC18" s="424" t="s">
        <v>813</v>
      </c>
      <c r="AD18" s="213" t="s">
        <v>814</v>
      </c>
      <c r="AE18" s="213" t="s">
        <v>798</v>
      </c>
      <c r="AF18" s="213" t="s">
        <v>815</v>
      </c>
      <c r="AG18" s="213">
        <v>2</v>
      </c>
      <c r="AH18" s="213">
        <v>70017</v>
      </c>
      <c r="AI18" s="213">
        <v>80033200728</v>
      </c>
      <c r="AJ18" s="414" t="s">
        <v>1043</v>
      </c>
      <c r="AK18" s="213">
        <v>82</v>
      </c>
      <c r="AL18" s="213">
        <v>262</v>
      </c>
      <c r="AM18" s="412">
        <v>38170</v>
      </c>
      <c r="AN18" s="416">
        <v>38191</v>
      </c>
      <c r="AO18" s="406" t="s">
        <v>1044</v>
      </c>
      <c r="AP18" s="406">
        <v>1660</v>
      </c>
      <c r="AQ18" s="213">
        <v>17</v>
      </c>
      <c r="AR18" s="213">
        <v>16</v>
      </c>
      <c r="AS18" s="674" t="s">
        <v>426</v>
      </c>
      <c r="AT18" s="674" t="s">
        <v>427</v>
      </c>
      <c r="AU18" s="470" t="s">
        <v>295</v>
      </c>
      <c r="AV18" s="471">
        <v>38330</v>
      </c>
      <c r="AW18" s="471">
        <v>38296</v>
      </c>
      <c r="AX18" s="1083">
        <v>38316</v>
      </c>
      <c r="AY18" s="155" t="s">
        <v>1328</v>
      </c>
      <c r="AZ18" s="155" t="s">
        <v>386</v>
      </c>
      <c r="BA18" s="155" t="s">
        <v>387</v>
      </c>
      <c r="BB18" s="155" t="s">
        <v>388</v>
      </c>
      <c r="BC18" s="432" t="s">
        <v>389</v>
      </c>
      <c r="BD18" s="155" t="s">
        <v>1329</v>
      </c>
      <c r="BE18" s="155"/>
      <c r="BF18" s="853" t="s">
        <v>446</v>
      </c>
      <c r="BG18" s="471">
        <v>38331</v>
      </c>
      <c r="BH18" s="155" t="s">
        <v>447</v>
      </c>
      <c r="BI18" s="411">
        <f>T18*0.3</f>
        <v>197718.3</v>
      </c>
      <c r="BJ18" s="411">
        <f t="shared" si="16"/>
        <v>168060.555</v>
      </c>
      <c r="BK18" s="479" t="s">
        <v>1104</v>
      </c>
      <c r="BL18" s="411">
        <f t="shared" si="10"/>
        <v>29657.744999999995</v>
      </c>
      <c r="BM18" s="479" t="s">
        <v>1104</v>
      </c>
      <c r="BN18" s="411">
        <f t="shared" si="11"/>
        <v>69201.40499999998</v>
      </c>
      <c r="BO18" s="411"/>
      <c r="BP18" s="411"/>
      <c r="BQ18" s="539">
        <v>678</v>
      </c>
      <c r="BR18" s="416">
        <v>38337</v>
      </c>
      <c r="BS18" s="405" t="s">
        <v>154</v>
      </c>
      <c r="BT18" s="539">
        <v>5632</v>
      </c>
      <c r="BU18" s="726" t="s">
        <v>1169</v>
      </c>
      <c r="BV18" s="416">
        <v>38342</v>
      </c>
      <c r="BW18" s="430">
        <f>168060.56+29657.74</f>
        <v>197718.3</v>
      </c>
      <c r="BX18" s="878">
        <f>168060.56+29657.74</f>
        <v>197718.3</v>
      </c>
      <c r="BY18" s="872"/>
      <c r="BZ18" s="872"/>
      <c r="CA18" s="872"/>
      <c r="CB18" s="872"/>
      <c r="CC18" s="872"/>
      <c r="CD18" s="872"/>
      <c r="CE18" s="872"/>
      <c r="CF18" s="872"/>
      <c r="CG18" s="872"/>
      <c r="CH18" s="872"/>
      <c r="CI18" s="872"/>
      <c r="CJ18" s="872"/>
      <c r="CK18" s="872"/>
      <c r="CL18" s="872"/>
      <c r="CM18" s="872"/>
      <c r="CN18" s="872"/>
      <c r="CO18" s="872"/>
      <c r="CP18" s="872"/>
      <c r="CQ18" s="872"/>
      <c r="CR18" s="872"/>
      <c r="CS18" s="872"/>
      <c r="CT18" s="872"/>
      <c r="CU18" s="872"/>
      <c r="CV18" s="872"/>
      <c r="CW18" s="872"/>
      <c r="CX18" s="872"/>
      <c r="CY18" s="872"/>
      <c r="CZ18" s="872"/>
      <c r="DA18" s="872"/>
      <c r="DB18" s="872"/>
      <c r="DC18" s="872"/>
      <c r="DD18" s="872"/>
      <c r="DE18" s="872"/>
      <c r="DF18" s="872"/>
      <c r="DG18" s="872"/>
      <c r="DH18" s="872"/>
      <c r="DI18" s="872"/>
      <c r="DJ18" s="872"/>
      <c r="DK18" s="872"/>
      <c r="DL18" s="872"/>
      <c r="DM18" s="872"/>
      <c r="DN18" s="872"/>
      <c r="DO18" s="872"/>
      <c r="DP18" s="872"/>
      <c r="DQ18" s="872"/>
      <c r="DR18" s="872"/>
      <c r="DS18" s="872"/>
      <c r="DT18" s="872"/>
      <c r="DU18" s="872"/>
      <c r="DV18" s="872"/>
      <c r="DW18" s="872"/>
      <c r="DX18" s="872"/>
      <c r="DY18" s="872"/>
      <c r="DZ18" s="872"/>
      <c r="EA18" s="872"/>
      <c r="EB18" s="872"/>
      <c r="EC18" s="872"/>
      <c r="ED18" s="872"/>
      <c r="EE18" s="872"/>
      <c r="EF18" s="872"/>
      <c r="EG18" s="872"/>
      <c r="EH18" s="872"/>
      <c r="EI18" s="872"/>
      <c r="EJ18" s="872"/>
      <c r="EK18" s="872"/>
      <c r="EL18" s="872"/>
      <c r="EM18" s="872"/>
      <c r="EN18" s="872"/>
      <c r="EO18" s="872"/>
      <c r="EP18" s="872"/>
      <c r="EQ18" s="872"/>
      <c r="ER18" s="872"/>
      <c r="ES18" s="872"/>
      <c r="ET18" s="872"/>
      <c r="EU18" s="872"/>
      <c r="EV18" s="872"/>
      <c r="EW18" s="872"/>
      <c r="EX18" s="872"/>
      <c r="EY18" s="894">
        <f t="shared" si="17"/>
        <v>1013940</v>
      </c>
      <c r="EZ18" s="894">
        <f>+EY18-FA18</f>
        <v>198940</v>
      </c>
      <c r="FA18" s="894">
        <v>815000</v>
      </c>
      <c r="FB18" s="1089">
        <f>+BY18+DATI!GL18+DATI!FY18+DATI!FL18+DATI!EY18+DATI!EL18+DATI!DY18+DATI!DL18+DATI!CY18+DATI!CL18+DATI!BY18+CL18+CY18+DL18+DY18</f>
        <v>579964.88</v>
      </c>
      <c r="FC18" s="894">
        <f>+FA18-FB18</f>
        <v>235035.12</v>
      </c>
      <c r="FD18" s="895">
        <f t="shared" si="20"/>
        <v>0.5719913209854627</v>
      </c>
      <c r="FE18" s="897">
        <f t="shared" si="21"/>
        <v>659061</v>
      </c>
      <c r="FF18" s="1126"/>
      <c r="FG18" s="1097"/>
      <c r="FH18" s="1098"/>
      <c r="FI18" s="897">
        <f>+FA18*0.65</f>
        <v>529750</v>
      </c>
      <c r="FJ18" s="897">
        <f t="shared" si="24"/>
        <v>197718.3</v>
      </c>
      <c r="FK18" s="897">
        <f>+CA18+DATI!GN18+DATI!FN18+DATI!FA18+DATI!EN18+DATI!EA18+DATI!DN18+DATI!DA18+DATI!CN18+DATI!CA18+CN18+DA18+DN18+EA18</f>
        <v>179258.86650000003</v>
      </c>
      <c r="FL18" s="1221">
        <f>+EX18+EK18+DX18+DK18+CX18+CK18+DATI!GX18+DATI!GK18+DATI!FX18+DATI!FK18+DATI!EX18+DATI!EK18+DATI!DX18+DATI!DK18+DATI!CX18+DATI!CK18</f>
        <v>179258.869625</v>
      </c>
      <c r="FM18" s="877">
        <f t="shared" si="18"/>
        <v>376977.16650000005</v>
      </c>
      <c r="FN18" s="877">
        <f>+BZ18+DATI!GM18+DATI!FZ18+DATI!FM18+DATI!EZ18+DATI!EM18+DATI!DZ18+DATI!DM18+DATI!CZ18+DATI!CM18+DATI!BZ18</f>
        <v>376977.172</v>
      </c>
      <c r="FO18" s="877">
        <f>+FE18-FM18</f>
        <v>282083.83349999995</v>
      </c>
      <c r="FP18" s="896">
        <f>+FN18/FE18</f>
        <v>0.5719913209854627</v>
      </c>
      <c r="FQ18" s="899"/>
      <c r="FR18" s="566">
        <v>38139</v>
      </c>
      <c r="FS18" s="655">
        <f>36+6+6</f>
        <v>48</v>
      </c>
      <c r="FT18" s="697">
        <f t="shared" si="23"/>
        <v>4</v>
      </c>
      <c r="FU18" s="441">
        <f t="shared" si="19"/>
        <v>39599</v>
      </c>
      <c r="FV18" s="1096" t="s">
        <v>434</v>
      </c>
      <c r="FW18" s="1161"/>
      <c r="FX18" s="1162"/>
      <c r="FY18" s="974">
        <v>281286.39</v>
      </c>
      <c r="FZ18" s="974">
        <f>+FY18*0.65</f>
        <v>182836.15350000001</v>
      </c>
      <c r="GA18" s="974"/>
      <c r="GB18" s="974"/>
      <c r="GC18" s="974"/>
      <c r="GD18" s="974"/>
    </row>
    <row r="19" spans="1:186" s="477" customFormat="1" ht="12" customHeight="1">
      <c r="A19" s="421">
        <v>17</v>
      </c>
      <c r="B19" s="406" t="e">
        <f>IF(#REF!&gt;0,"si","no")</f>
        <v>#REF!</v>
      </c>
      <c r="C19" s="407">
        <v>34</v>
      </c>
      <c r="D19" s="477" t="s">
        <v>816</v>
      </c>
      <c r="E19" s="477" t="s">
        <v>750</v>
      </c>
      <c r="G19" s="477" t="s">
        <v>371</v>
      </c>
      <c r="H19" s="820" t="s">
        <v>1180</v>
      </c>
      <c r="I19" s="526" t="s">
        <v>1150</v>
      </c>
      <c r="J19" s="411">
        <v>2584036</v>
      </c>
      <c r="K19" s="410">
        <v>65</v>
      </c>
      <c r="L19" s="410" t="str">
        <f t="shared" si="0"/>
        <v>è</v>
      </c>
      <c r="M19" s="410" t="s">
        <v>793</v>
      </c>
      <c r="N19" s="409">
        <v>1396320</v>
      </c>
      <c r="O19" s="409">
        <f t="shared" si="1"/>
        <v>1187716</v>
      </c>
      <c r="P19" s="409">
        <f t="shared" si="2"/>
        <v>237543.2</v>
      </c>
      <c r="Q19" s="411">
        <f t="shared" si="3"/>
        <v>2821579.2</v>
      </c>
      <c r="R19" s="411">
        <f>IF(J19*K19/100&gt;2500000,2500000,J19*K19/100)</f>
        <v>1679623.4</v>
      </c>
      <c r="S19" s="409">
        <f t="shared" si="5"/>
        <v>154403.08</v>
      </c>
      <c r="T19" s="411">
        <f t="shared" si="6"/>
        <v>1834026.48</v>
      </c>
      <c r="U19" s="411">
        <f t="shared" si="12"/>
        <v>917013.24</v>
      </c>
      <c r="V19" s="411">
        <f t="shared" si="13"/>
        <v>641909.2679999999</v>
      </c>
      <c r="W19" s="409">
        <f t="shared" si="14"/>
        <v>1558922.508</v>
      </c>
      <c r="X19" s="411">
        <f t="shared" si="7"/>
        <v>275103.972</v>
      </c>
      <c r="Y19" s="411">
        <f t="shared" si="8"/>
        <v>904412.6000000001</v>
      </c>
      <c r="Z19" s="411">
        <f t="shared" si="9"/>
        <v>987552.7200000002</v>
      </c>
      <c r="AA19" s="412" t="s">
        <v>794</v>
      </c>
      <c r="AB19" s="413" t="s">
        <v>795</v>
      </c>
      <c r="AC19" s="413" t="s">
        <v>817</v>
      </c>
      <c r="AD19" s="213" t="s">
        <v>797</v>
      </c>
      <c r="AE19" s="213" t="s">
        <v>798</v>
      </c>
      <c r="AF19" s="213" t="s">
        <v>824</v>
      </c>
      <c r="AG19" s="213">
        <v>4</v>
      </c>
      <c r="AH19" s="213">
        <v>70124</v>
      </c>
      <c r="AI19" s="213">
        <v>80016260723</v>
      </c>
      <c r="AJ19" s="414" t="s">
        <v>825</v>
      </c>
      <c r="AK19" s="415">
        <v>82</v>
      </c>
      <c r="AL19" s="415">
        <v>230</v>
      </c>
      <c r="AM19" s="412">
        <v>38155</v>
      </c>
      <c r="AN19" s="416">
        <v>38191</v>
      </c>
      <c r="AO19" s="406" t="s">
        <v>2</v>
      </c>
      <c r="AP19" s="406">
        <v>1653</v>
      </c>
      <c r="AQ19" s="417">
        <v>13</v>
      </c>
      <c r="AR19" s="417">
        <v>12</v>
      </c>
      <c r="AS19" s="678" t="s">
        <v>209</v>
      </c>
      <c r="AT19" s="677" t="s">
        <v>1389</v>
      </c>
      <c r="AU19" s="470" t="s">
        <v>295</v>
      </c>
      <c r="AV19" s="471">
        <v>38302</v>
      </c>
      <c r="AW19" s="471">
        <v>38274</v>
      </c>
      <c r="AX19" s="1083">
        <v>38317</v>
      </c>
      <c r="AY19" s="155" t="s">
        <v>734</v>
      </c>
      <c r="AZ19" s="155" t="s">
        <v>735</v>
      </c>
      <c r="BA19" s="155" t="s">
        <v>797</v>
      </c>
      <c r="BB19" s="155" t="s">
        <v>378</v>
      </c>
      <c r="BC19" s="405" t="s">
        <v>1149</v>
      </c>
      <c r="BD19" s="155" t="s">
        <v>1138</v>
      </c>
      <c r="BE19" s="155" t="s">
        <v>1457</v>
      </c>
      <c r="BF19" s="853" t="s">
        <v>1148</v>
      </c>
      <c r="BG19" s="471">
        <v>38317</v>
      </c>
      <c r="BH19" s="155" t="s">
        <v>1145</v>
      </c>
      <c r="BI19" s="411">
        <v>503887.02</v>
      </c>
      <c r="BJ19" s="411">
        <f t="shared" si="16"/>
        <v>428303.967</v>
      </c>
      <c r="BK19" s="479" t="s">
        <v>1104</v>
      </c>
      <c r="BL19" s="411">
        <f t="shared" si="10"/>
        <v>75583.053</v>
      </c>
      <c r="BM19" s="479" t="s">
        <v>1104</v>
      </c>
      <c r="BN19" s="411">
        <f t="shared" si="11"/>
        <v>176360.457</v>
      </c>
      <c r="BO19" s="411"/>
      <c r="BP19" s="411"/>
      <c r="BQ19" s="539">
        <v>666</v>
      </c>
      <c r="BR19" s="416">
        <v>38330</v>
      </c>
      <c r="BS19" s="405" t="s">
        <v>154</v>
      </c>
      <c r="BT19" s="711" t="s">
        <v>385</v>
      </c>
      <c r="BU19" s="838" t="s">
        <v>352</v>
      </c>
      <c r="BV19" s="435">
        <v>38341</v>
      </c>
      <c r="BW19" s="430">
        <f>428303.97+75583.05</f>
        <v>503887.01999999996</v>
      </c>
      <c r="BX19" s="878">
        <f>428303.97+75583.05</f>
        <v>503887.01999999996</v>
      </c>
      <c r="BY19" s="872"/>
      <c r="BZ19" s="872"/>
      <c r="CA19" s="872"/>
      <c r="CB19" s="872"/>
      <c r="CC19" s="872"/>
      <c r="CD19" s="872"/>
      <c r="CE19" s="872"/>
      <c r="CF19" s="872"/>
      <c r="CG19" s="872"/>
      <c r="CH19" s="872"/>
      <c r="CI19" s="872"/>
      <c r="CJ19" s="872"/>
      <c r="CK19" s="872"/>
      <c r="CL19" s="872"/>
      <c r="CM19" s="872"/>
      <c r="CN19" s="872"/>
      <c r="CO19" s="872"/>
      <c r="CP19" s="872"/>
      <c r="CQ19" s="872"/>
      <c r="CR19" s="872"/>
      <c r="CS19" s="872"/>
      <c r="CT19" s="872"/>
      <c r="CU19" s="872"/>
      <c r="CV19" s="872"/>
      <c r="CW19" s="872"/>
      <c r="CX19" s="872"/>
      <c r="CY19" s="872"/>
      <c r="CZ19" s="872"/>
      <c r="DA19" s="872"/>
      <c r="DB19" s="872"/>
      <c r="DC19" s="872"/>
      <c r="DD19" s="872"/>
      <c r="DE19" s="872"/>
      <c r="DF19" s="872"/>
      <c r="DG19" s="872"/>
      <c r="DH19" s="872"/>
      <c r="DI19" s="872"/>
      <c r="DJ19" s="872"/>
      <c r="DK19" s="872"/>
      <c r="DL19" s="872"/>
      <c r="DM19" s="872"/>
      <c r="DN19" s="872"/>
      <c r="DO19" s="872"/>
      <c r="DP19" s="872"/>
      <c r="DQ19" s="872"/>
      <c r="DR19" s="872"/>
      <c r="DS19" s="872"/>
      <c r="DT19" s="872"/>
      <c r="DU19" s="872"/>
      <c r="DV19" s="872"/>
      <c r="DW19" s="872"/>
      <c r="DX19" s="872"/>
      <c r="DY19" s="872"/>
      <c r="DZ19" s="872"/>
      <c r="EA19" s="872"/>
      <c r="EB19" s="872"/>
      <c r="EC19" s="872"/>
      <c r="ED19" s="872"/>
      <c r="EE19" s="872"/>
      <c r="EF19" s="872"/>
      <c r="EG19" s="872"/>
      <c r="EH19" s="872"/>
      <c r="EI19" s="872"/>
      <c r="EJ19" s="872"/>
      <c r="EK19" s="872"/>
      <c r="EL19" s="872"/>
      <c r="EM19" s="872"/>
      <c r="EN19" s="872"/>
      <c r="EO19" s="872"/>
      <c r="EP19" s="872"/>
      <c r="EQ19" s="872"/>
      <c r="ER19" s="872"/>
      <c r="ES19" s="872"/>
      <c r="ET19" s="872"/>
      <c r="EU19" s="872"/>
      <c r="EV19" s="872"/>
      <c r="EW19" s="872"/>
      <c r="EX19" s="872"/>
      <c r="EY19" s="894">
        <f t="shared" si="17"/>
        <v>2821579.2</v>
      </c>
      <c r="EZ19" s="894"/>
      <c r="FA19" s="894">
        <f>+EY19</f>
        <v>2821579.2</v>
      </c>
      <c r="FB19" s="1089">
        <f>+BY19+DATI!GL19+DATI!FY19+DATI!FL19+DATI!EY19+DATI!EL19+DATI!DY19+DATI!DL19+DATI!CY19+DATI!CL19+DATI!BY19+CL19+CY19+DL19+DY19</f>
        <v>2810175.740909091</v>
      </c>
      <c r="FC19" s="894">
        <f>+EY19-FB19</f>
        <v>11403.45909090899</v>
      </c>
      <c r="FD19" s="895">
        <f t="shared" si="20"/>
        <v>0.9959584834298081</v>
      </c>
      <c r="FE19" s="897">
        <f t="shared" si="21"/>
        <v>1834026.48</v>
      </c>
      <c r="FF19" s="897">
        <v>7412.25</v>
      </c>
      <c r="FG19" s="1097">
        <v>74</v>
      </c>
      <c r="FH19" s="1098">
        <v>39850</v>
      </c>
      <c r="FI19" s="897">
        <f>+FE19</f>
        <v>1834026.48</v>
      </c>
      <c r="FJ19" s="897">
        <f t="shared" si="24"/>
        <v>503887.01999999996</v>
      </c>
      <c r="FK19" s="897">
        <f>+CA19+DATI!GN19+DATI!FN19+DATI!FA19+DATI!EN19+DATI!EA19+DATI!DN19+DATI!DA19+DATI!CN19+DATI!CA19+CN19+DA19+DN19+EA19</f>
        <v>1322727.202465909</v>
      </c>
      <c r="FL19" s="1221">
        <f>+EX19+EK19+DX19+DK19+CX19+CK19+DATI!GX19+DATI!GK19+DATI!FX19+DATI!FK19+DATI!EX19+DATI!EK19+DATI!DX19+DATI!DK19+DATI!CX19+DATI!CK19</f>
        <v>1325727.1987159092</v>
      </c>
      <c r="FM19" s="877">
        <f t="shared" si="18"/>
        <v>1826614.222465909</v>
      </c>
      <c r="FN19" s="877">
        <f>+BZ19+DATI!GM19+DATI!FZ19+DATI!FM19+DATI!EZ19+DATI!EM19+DATI!DZ19+DATI!DM19+DATI!CZ19+DATI!CM19+DATI!BZ19</f>
        <v>1826614.2315909094</v>
      </c>
      <c r="FO19" s="877">
        <f>+FE19-FM19</f>
        <v>7412.257534090895</v>
      </c>
      <c r="FP19" s="896">
        <f>+FN19/FE19</f>
        <v>0.9959584834298082</v>
      </c>
      <c r="FQ19" s="899"/>
      <c r="FR19" s="566">
        <v>38293</v>
      </c>
      <c r="FS19" s="655">
        <f>36+5+3</f>
        <v>44</v>
      </c>
      <c r="FT19" s="697">
        <f t="shared" si="23"/>
        <v>3.6666666666666665</v>
      </c>
      <c r="FU19" s="441">
        <f>FR19+(FS19*365/12)-2</f>
        <v>39629.333333333336</v>
      </c>
      <c r="FV19" s="1096" t="s">
        <v>434</v>
      </c>
      <c r="FW19" s="1161">
        <v>74</v>
      </c>
      <c r="FX19" s="1162">
        <v>39850</v>
      </c>
      <c r="FY19" s="974">
        <v>2810175.740909091</v>
      </c>
      <c r="FZ19" s="974">
        <f>+FY19*0.65</f>
        <v>1826614.2315909094</v>
      </c>
      <c r="GA19" s="974"/>
      <c r="GB19" s="974"/>
      <c r="GC19" s="974"/>
      <c r="GD19" s="974"/>
    </row>
    <row r="20" spans="1:186" s="1031" customFormat="1" ht="12" customHeight="1">
      <c r="A20" s="421">
        <v>18</v>
      </c>
      <c r="B20" s="980" t="e">
        <f>IF(#REF!&gt;0,"si","no")</f>
        <v>#REF!</v>
      </c>
      <c r="C20" s="407">
        <v>39</v>
      </c>
      <c r="D20" s="477" t="s">
        <v>847</v>
      </c>
      <c r="E20" s="477" t="s">
        <v>751</v>
      </c>
      <c r="F20" s="477"/>
      <c r="G20" s="477" t="s">
        <v>1465</v>
      </c>
      <c r="H20" s="820" t="s">
        <v>1194</v>
      </c>
      <c r="I20" s="526" t="s">
        <v>155</v>
      </c>
      <c r="J20" s="411">
        <v>659925</v>
      </c>
      <c r="K20" s="410">
        <v>65</v>
      </c>
      <c r="L20" s="410" t="str">
        <f t="shared" si="0"/>
        <v>è</v>
      </c>
      <c r="M20" s="410" t="s">
        <v>793</v>
      </c>
      <c r="N20" s="409">
        <v>221500</v>
      </c>
      <c r="O20" s="409">
        <f t="shared" si="1"/>
        <v>438425</v>
      </c>
      <c r="P20" s="409">
        <f t="shared" si="2"/>
        <v>87685</v>
      </c>
      <c r="Q20" s="411">
        <f t="shared" si="3"/>
        <v>747610</v>
      </c>
      <c r="R20" s="411">
        <f t="shared" si="4"/>
        <v>428951.25</v>
      </c>
      <c r="S20" s="409">
        <f t="shared" si="5"/>
        <v>56995.25</v>
      </c>
      <c r="T20" s="411">
        <f t="shared" si="6"/>
        <v>485946.5</v>
      </c>
      <c r="U20" s="411">
        <f t="shared" si="12"/>
        <v>242973.25</v>
      </c>
      <c r="V20" s="411">
        <f t="shared" si="13"/>
        <v>170081.275</v>
      </c>
      <c r="W20" s="409">
        <f t="shared" si="14"/>
        <v>413054.52499999997</v>
      </c>
      <c r="X20" s="411">
        <f t="shared" si="7"/>
        <v>72891.97499999999</v>
      </c>
      <c r="Y20" s="411">
        <f t="shared" si="8"/>
        <v>230973.75</v>
      </c>
      <c r="Z20" s="411">
        <f t="shared" si="9"/>
        <v>261663.5</v>
      </c>
      <c r="AA20" s="412" t="s">
        <v>794</v>
      </c>
      <c r="AB20" s="413" t="s">
        <v>795</v>
      </c>
      <c r="AC20" s="413" t="s">
        <v>848</v>
      </c>
      <c r="AD20" s="213" t="s">
        <v>849</v>
      </c>
      <c r="AE20" s="213" t="s">
        <v>804</v>
      </c>
      <c r="AF20" s="213" t="s">
        <v>850</v>
      </c>
      <c r="AG20" s="213">
        <v>97</v>
      </c>
      <c r="AH20" s="213">
        <v>73010</v>
      </c>
      <c r="AI20" s="432" t="s">
        <v>43</v>
      </c>
      <c r="AJ20" s="414" t="s">
        <v>48</v>
      </c>
      <c r="AK20" s="415">
        <v>73</v>
      </c>
      <c r="AL20" s="415">
        <v>268</v>
      </c>
      <c r="AM20" s="420">
        <v>38177</v>
      </c>
      <c r="AN20" s="420">
        <v>38238</v>
      </c>
      <c r="AO20" s="406" t="s">
        <v>65</v>
      </c>
      <c r="AP20" s="406">
        <v>1679</v>
      </c>
      <c r="AQ20" s="415">
        <v>32</v>
      </c>
      <c r="AR20" s="415">
        <v>27</v>
      </c>
      <c r="AS20" s="677" t="s">
        <v>172</v>
      </c>
      <c r="AT20" s="677" t="s">
        <v>172</v>
      </c>
      <c r="AU20" s="470" t="s">
        <v>295</v>
      </c>
      <c r="AV20" s="471">
        <v>38316</v>
      </c>
      <c r="AW20" s="471">
        <v>38278</v>
      </c>
      <c r="AX20" s="1083">
        <v>38313</v>
      </c>
      <c r="AY20" s="155" t="s">
        <v>146</v>
      </c>
      <c r="AZ20" s="155" t="s">
        <v>147</v>
      </c>
      <c r="BA20" s="155" t="s">
        <v>803</v>
      </c>
      <c r="BB20" s="155" t="s">
        <v>148</v>
      </c>
      <c r="BC20" s="432" t="s">
        <v>149</v>
      </c>
      <c r="BD20" s="155" t="s">
        <v>150</v>
      </c>
      <c r="BE20" s="155"/>
      <c r="BF20" s="853" t="s">
        <v>151</v>
      </c>
      <c r="BG20" s="471">
        <v>38300</v>
      </c>
      <c r="BH20" s="155" t="s">
        <v>152</v>
      </c>
      <c r="BI20" s="411">
        <f t="shared" si="15"/>
        <v>145783.94999999998</v>
      </c>
      <c r="BJ20" s="411">
        <f t="shared" si="16"/>
        <v>123916.35749999998</v>
      </c>
      <c r="BK20" s="479" t="s">
        <v>1104</v>
      </c>
      <c r="BL20" s="411">
        <f t="shared" si="10"/>
        <v>21867.592499999995</v>
      </c>
      <c r="BM20" s="479" t="s">
        <v>1104</v>
      </c>
      <c r="BN20" s="411">
        <f t="shared" si="11"/>
        <v>51024.38249999999</v>
      </c>
      <c r="BO20" s="411"/>
      <c r="BP20" s="411"/>
      <c r="BQ20" s="539">
        <v>651</v>
      </c>
      <c r="BR20" s="416">
        <v>38321</v>
      </c>
      <c r="BS20" s="405" t="s">
        <v>154</v>
      </c>
      <c r="BT20" s="711" t="s">
        <v>1147</v>
      </c>
      <c r="BU20" s="726" t="s">
        <v>348</v>
      </c>
      <c r="BV20" s="435">
        <v>38338</v>
      </c>
      <c r="BW20" s="430">
        <f>123916.36+21867.59</f>
        <v>145783.95</v>
      </c>
      <c r="BX20" s="878">
        <f>123916.36+21867.59</f>
        <v>145783.95</v>
      </c>
      <c r="BY20" s="743"/>
      <c r="BZ20" s="743"/>
      <c r="CA20" s="743"/>
      <c r="CB20" s="743"/>
      <c r="CC20" s="743"/>
      <c r="CD20" s="743"/>
      <c r="CE20" s="743"/>
      <c r="CF20" s="743"/>
      <c r="CG20" s="743"/>
      <c r="CH20" s="743"/>
      <c r="CI20" s="743"/>
      <c r="CJ20" s="743"/>
      <c r="CK20" s="743"/>
      <c r="CL20" s="743"/>
      <c r="CM20" s="743"/>
      <c r="CN20" s="743"/>
      <c r="CO20" s="743"/>
      <c r="CP20" s="743"/>
      <c r="CQ20" s="743"/>
      <c r="CR20" s="743"/>
      <c r="CS20" s="743"/>
      <c r="CT20" s="743"/>
      <c r="CU20" s="743"/>
      <c r="CV20" s="743"/>
      <c r="CW20" s="743"/>
      <c r="CX20" s="743"/>
      <c r="CY20" s="743"/>
      <c r="CZ20" s="743"/>
      <c r="DA20" s="743"/>
      <c r="DB20" s="743"/>
      <c r="DC20" s="743"/>
      <c r="DD20" s="743"/>
      <c r="DE20" s="743"/>
      <c r="DF20" s="743"/>
      <c r="DG20" s="743"/>
      <c r="DH20" s="743"/>
      <c r="DI20" s="743"/>
      <c r="DJ20" s="743"/>
      <c r="DK20" s="743"/>
      <c r="DL20" s="743"/>
      <c r="DM20" s="743"/>
      <c r="DN20" s="743"/>
      <c r="DO20" s="743"/>
      <c r="DP20" s="743"/>
      <c r="DQ20" s="743"/>
      <c r="DR20" s="743"/>
      <c r="DS20" s="743"/>
      <c r="DT20" s="743"/>
      <c r="DU20" s="743"/>
      <c r="DV20" s="743"/>
      <c r="DW20" s="743"/>
      <c r="DX20" s="743"/>
      <c r="DY20" s="743"/>
      <c r="DZ20" s="743"/>
      <c r="EA20" s="743"/>
      <c r="EB20" s="743"/>
      <c r="EC20" s="743"/>
      <c r="ED20" s="743"/>
      <c r="EE20" s="743"/>
      <c r="EF20" s="743"/>
      <c r="EG20" s="743"/>
      <c r="EH20" s="743"/>
      <c r="EI20" s="743"/>
      <c r="EJ20" s="743"/>
      <c r="EK20" s="743"/>
      <c r="EL20" s="743"/>
      <c r="EM20" s="743"/>
      <c r="EN20" s="743"/>
      <c r="EO20" s="743"/>
      <c r="EP20" s="743"/>
      <c r="EQ20" s="743"/>
      <c r="ER20" s="743"/>
      <c r="ES20" s="743"/>
      <c r="ET20" s="743"/>
      <c r="EU20" s="743"/>
      <c r="EV20" s="743"/>
      <c r="EW20" s="743"/>
      <c r="EX20" s="743"/>
      <c r="EY20" s="894">
        <f t="shared" si="17"/>
        <v>747610</v>
      </c>
      <c r="EZ20" s="894">
        <f>+EY20-FA20</f>
        <v>51422.90000000002</v>
      </c>
      <c r="FA20" s="894">
        <v>696187.1</v>
      </c>
      <c r="FB20" s="1089">
        <f>+BY20+DATI!GL20+DATI!FY20+DATI!FL20+DATI!EY20+DATI!EL20+DATI!DY20+DATI!DL20+DATI!CY20+DATI!CL20+DATI!BY20+CL20+CY20+DL20+DY20</f>
        <v>696187.1</v>
      </c>
      <c r="FC20" s="894">
        <f>+FA20-FB20</f>
        <v>0</v>
      </c>
      <c r="FD20" s="895">
        <f>FB20/FA20</f>
        <v>1</v>
      </c>
      <c r="FE20" s="897">
        <f t="shared" si="21"/>
        <v>485946.5</v>
      </c>
      <c r="FF20" s="897">
        <f>+EZ20*0.65</f>
        <v>33424.88500000002</v>
      </c>
      <c r="FG20" s="1097">
        <v>488</v>
      </c>
      <c r="FH20" s="1098">
        <v>39751</v>
      </c>
      <c r="FI20" s="897">
        <f>+FE20-FF20</f>
        <v>452521.615</v>
      </c>
      <c r="FJ20" s="897">
        <f t="shared" si="24"/>
        <v>145783.95</v>
      </c>
      <c r="FK20" s="897">
        <f>+CA20+DATI!GN20+DATI!FN20+DATI!FA20+DATI!EN20+DATI!EA20+DATI!DN20+DATI!DA20+DATI!CN20+DATI!CA20+CN20+DA20+DN20+EA20</f>
        <v>306737.66825</v>
      </c>
      <c r="FL20" s="1221">
        <f>+EX20+EK20+DX20+DK20+CX20+CK20+DATI!GX20+DATI!GK20+DATI!FX20+DATI!FK20+DATI!EX20+DATI!EK20+DATI!DX20+DATI!DK20+DATI!CX20+DATI!CK20</f>
        <v>250923.41375</v>
      </c>
      <c r="FM20" s="877">
        <f t="shared" si="18"/>
        <v>452521.61825</v>
      </c>
      <c r="FN20" s="877">
        <f>+BZ20+DATI!GM20+DATI!FZ20+DATI!FM20+DATI!EZ20+DATI!EM20+DATI!DZ20+DATI!DM20+DATI!CZ20+DATI!CM20+DATI!BZ20</f>
        <v>457291.71800000005</v>
      </c>
      <c r="FO20" s="877">
        <f>+FI20-FM20</f>
        <v>-0.0032500000088475645</v>
      </c>
      <c r="FP20" s="896">
        <f>+FN20/FI20</f>
        <v>1.0105411605587062</v>
      </c>
      <c r="FQ20" s="1010"/>
      <c r="FR20" s="566">
        <v>37988</v>
      </c>
      <c r="FS20" s="655">
        <f>36+6</f>
        <v>42</v>
      </c>
      <c r="FT20" s="697">
        <f t="shared" si="23"/>
        <v>3.5</v>
      </c>
      <c r="FU20" s="441">
        <f t="shared" si="19"/>
        <v>39265.5</v>
      </c>
      <c r="FV20" s="1096" t="s">
        <v>434</v>
      </c>
      <c r="FW20" s="1161">
        <v>488</v>
      </c>
      <c r="FX20" s="1162">
        <v>39751</v>
      </c>
      <c r="FY20" s="974">
        <v>696187.1</v>
      </c>
      <c r="FZ20" s="974">
        <f>+FY20*0.65</f>
        <v>452521.615</v>
      </c>
      <c r="GA20" s="974"/>
      <c r="GB20" s="1013"/>
      <c r="GC20" s="1013"/>
      <c r="GD20" s="1013"/>
    </row>
    <row r="21" spans="1:186" s="155" customFormat="1" ht="12" customHeight="1">
      <c r="A21" s="421">
        <v>19</v>
      </c>
      <c r="B21" s="406" t="e">
        <f>IF(#REF!&gt;0,"si","no")</f>
        <v>#REF!</v>
      </c>
      <c r="C21" s="407">
        <v>41</v>
      </c>
      <c r="D21" s="477" t="s">
        <v>808</v>
      </c>
      <c r="E21" s="477" t="s">
        <v>752</v>
      </c>
      <c r="F21" s="477"/>
      <c r="G21" s="477" t="s">
        <v>1459</v>
      </c>
      <c r="H21" s="820" t="s">
        <v>1195</v>
      </c>
      <c r="I21" s="526" t="s">
        <v>23</v>
      </c>
      <c r="J21" s="411">
        <v>1500000</v>
      </c>
      <c r="K21" s="410">
        <v>50</v>
      </c>
      <c r="L21" s="410" t="str">
        <f t="shared" si="0"/>
        <v>non è</v>
      </c>
      <c r="M21" s="410" t="s">
        <v>809</v>
      </c>
      <c r="N21" s="409">
        <v>915000</v>
      </c>
      <c r="O21" s="409">
        <f t="shared" si="1"/>
        <v>585000</v>
      </c>
      <c r="P21" s="409">
        <f t="shared" si="2"/>
        <v>117000</v>
      </c>
      <c r="Q21" s="411">
        <f t="shared" si="3"/>
        <v>1617000</v>
      </c>
      <c r="R21" s="411">
        <f t="shared" si="4"/>
        <v>750000</v>
      </c>
      <c r="S21" s="409">
        <f t="shared" si="5"/>
        <v>58500</v>
      </c>
      <c r="T21" s="411">
        <f t="shared" si="6"/>
        <v>808500</v>
      </c>
      <c r="U21" s="411">
        <f t="shared" si="12"/>
        <v>404250</v>
      </c>
      <c r="V21" s="411">
        <f t="shared" si="13"/>
        <v>282975</v>
      </c>
      <c r="W21" s="409">
        <f t="shared" si="14"/>
        <v>687225</v>
      </c>
      <c r="X21" s="411">
        <f t="shared" si="7"/>
        <v>121275</v>
      </c>
      <c r="Y21" s="411">
        <f t="shared" si="8"/>
        <v>750000</v>
      </c>
      <c r="Z21" s="411">
        <f t="shared" si="9"/>
        <v>808500</v>
      </c>
      <c r="AA21" s="412" t="s">
        <v>794</v>
      </c>
      <c r="AB21" s="413" t="s">
        <v>795</v>
      </c>
      <c r="AC21" s="413" t="s">
        <v>810</v>
      </c>
      <c r="AD21" s="213" t="s">
        <v>803</v>
      </c>
      <c r="AE21" s="213" t="s">
        <v>804</v>
      </c>
      <c r="AF21" s="213" t="s">
        <v>811</v>
      </c>
      <c r="AG21" s="213">
        <v>31</v>
      </c>
      <c r="AH21" s="213">
        <v>73100</v>
      </c>
      <c r="AI21" s="213">
        <v>80001570755</v>
      </c>
      <c r="AJ21" s="414" t="s">
        <v>1046</v>
      </c>
      <c r="AK21" s="415">
        <v>85</v>
      </c>
      <c r="AL21" s="415">
        <v>205</v>
      </c>
      <c r="AM21" s="412">
        <v>38146</v>
      </c>
      <c r="AN21" s="416">
        <v>38191</v>
      </c>
      <c r="AO21" s="406" t="s">
        <v>3</v>
      </c>
      <c r="AP21" s="406">
        <v>1654</v>
      </c>
      <c r="AQ21" s="417">
        <v>22</v>
      </c>
      <c r="AR21" s="417">
        <v>18</v>
      </c>
      <c r="AS21" s="678" t="s">
        <v>208</v>
      </c>
      <c r="AT21" s="677" t="s">
        <v>169</v>
      </c>
      <c r="AU21" s="470" t="s">
        <v>295</v>
      </c>
      <c r="AV21" s="471">
        <v>38559</v>
      </c>
      <c r="AW21" s="471">
        <v>38370</v>
      </c>
      <c r="AX21" s="416">
        <v>38679</v>
      </c>
      <c r="AY21" s="155" t="s">
        <v>248</v>
      </c>
      <c r="AZ21" s="155" t="s">
        <v>222</v>
      </c>
      <c r="BA21" s="155" t="s">
        <v>803</v>
      </c>
      <c r="BB21" s="155" t="s">
        <v>249</v>
      </c>
      <c r="BC21" s="432" t="s">
        <v>243</v>
      </c>
      <c r="BD21" s="155" t="s">
        <v>245</v>
      </c>
      <c r="BE21" s="155" t="s">
        <v>1461</v>
      </c>
      <c r="BF21" s="853" t="s">
        <v>246</v>
      </c>
      <c r="BG21" s="471">
        <v>38684</v>
      </c>
      <c r="BH21" s="155" t="s">
        <v>247</v>
      </c>
      <c r="BI21" s="411">
        <v>225000</v>
      </c>
      <c r="BJ21" s="411">
        <f t="shared" si="16"/>
        <v>191250</v>
      </c>
      <c r="BK21" s="479" t="s">
        <v>1104</v>
      </c>
      <c r="BL21" s="411">
        <f t="shared" si="10"/>
        <v>33750</v>
      </c>
      <c r="BM21" s="479" t="s">
        <v>1104</v>
      </c>
      <c r="BN21" s="411">
        <f t="shared" si="11"/>
        <v>78750</v>
      </c>
      <c r="BO21" s="411"/>
      <c r="BP21" s="411"/>
      <c r="BQ21" s="539">
        <v>1942</v>
      </c>
      <c r="BR21" s="416">
        <v>38692</v>
      </c>
      <c r="BS21" s="405" t="s">
        <v>154</v>
      </c>
      <c r="BT21" s="537"/>
      <c r="BU21" s="579" t="s">
        <v>1323</v>
      </c>
      <c r="BV21" s="416">
        <v>38715</v>
      </c>
      <c r="BW21" s="430">
        <f>191250+33750</f>
        <v>225000</v>
      </c>
      <c r="BX21" s="878">
        <f>BI21</f>
        <v>225000</v>
      </c>
      <c r="BY21" s="872"/>
      <c r="BZ21" s="872"/>
      <c r="CA21" s="872"/>
      <c r="CB21" s="872"/>
      <c r="CC21" s="872"/>
      <c r="CD21" s="872"/>
      <c r="CE21" s="872"/>
      <c r="CF21" s="872"/>
      <c r="CG21" s="872"/>
      <c r="CH21" s="872"/>
      <c r="CI21" s="872"/>
      <c r="CJ21" s="872"/>
      <c r="CK21" s="872"/>
      <c r="CL21" s="872"/>
      <c r="CM21" s="872"/>
      <c r="CN21" s="872"/>
      <c r="CO21" s="872"/>
      <c r="CP21" s="872"/>
      <c r="CQ21" s="872"/>
      <c r="CR21" s="872"/>
      <c r="CS21" s="872"/>
      <c r="CT21" s="872"/>
      <c r="CU21" s="872"/>
      <c r="CV21" s="872"/>
      <c r="CW21" s="872"/>
      <c r="CX21" s="872"/>
      <c r="CY21" s="872"/>
      <c r="CZ21" s="872"/>
      <c r="DA21" s="872"/>
      <c r="DB21" s="872"/>
      <c r="DC21" s="872"/>
      <c r="DD21" s="872"/>
      <c r="DE21" s="872"/>
      <c r="DF21" s="872"/>
      <c r="DG21" s="872"/>
      <c r="DH21" s="872"/>
      <c r="DI21" s="872"/>
      <c r="DJ21" s="872"/>
      <c r="DK21" s="872"/>
      <c r="DL21" s="872"/>
      <c r="DM21" s="872"/>
      <c r="DN21" s="872"/>
      <c r="DO21" s="872"/>
      <c r="DP21" s="872"/>
      <c r="DQ21" s="872"/>
      <c r="DR21" s="872"/>
      <c r="DS21" s="872"/>
      <c r="DT21" s="872"/>
      <c r="DU21" s="872"/>
      <c r="DV21" s="872"/>
      <c r="DW21" s="872"/>
      <c r="DX21" s="872"/>
      <c r="DY21" s="872"/>
      <c r="DZ21" s="872"/>
      <c r="EA21" s="872"/>
      <c r="EB21" s="872"/>
      <c r="EC21" s="872"/>
      <c r="ED21" s="872"/>
      <c r="EE21" s="872"/>
      <c r="EF21" s="872"/>
      <c r="EG21" s="872"/>
      <c r="EH21" s="872"/>
      <c r="EI21" s="872"/>
      <c r="EJ21" s="872"/>
      <c r="EK21" s="872"/>
      <c r="EL21" s="872"/>
      <c r="EM21" s="872"/>
      <c r="EN21" s="872"/>
      <c r="EO21" s="872"/>
      <c r="EP21" s="872"/>
      <c r="EQ21" s="872"/>
      <c r="ER21" s="872"/>
      <c r="ES21" s="872"/>
      <c r="ET21" s="872"/>
      <c r="EU21" s="872"/>
      <c r="EV21" s="872"/>
      <c r="EW21" s="872"/>
      <c r="EX21" s="872"/>
      <c r="EY21" s="894">
        <f t="shared" si="17"/>
        <v>1617000</v>
      </c>
      <c r="EZ21" s="894"/>
      <c r="FA21" s="894">
        <f>+EY21</f>
        <v>1617000</v>
      </c>
      <c r="FB21" s="1089">
        <f>+BY21+DATI!GL21+DATI!FY21+DATI!FL21+DATI!EY21+DATI!EL21+DATI!DY21+DATI!DL21+DATI!CY21+DATI!CL21+DATI!BY21+CL21+CY21+DL21+DY21</f>
        <v>1181533.25</v>
      </c>
      <c r="FC21" s="894">
        <f>+EY21-FB21</f>
        <v>435466.75</v>
      </c>
      <c r="FD21" s="895">
        <f t="shared" si="20"/>
        <v>0.7306946505875077</v>
      </c>
      <c r="FE21" s="897">
        <f t="shared" si="21"/>
        <v>808500</v>
      </c>
      <c r="FF21" s="1126"/>
      <c r="FG21" s="1097"/>
      <c r="FH21" s="1098"/>
      <c r="FI21" s="897">
        <f>+FE21</f>
        <v>808500</v>
      </c>
      <c r="FJ21" s="897">
        <f t="shared" si="24"/>
        <v>225000</v>
      </c>
      <c r="FK21" s="897">
        <f>+CA21+DATI!GN21+DATI!FN21+DATI!FA21+DATI!EN21+DATI!EA21+DATI!DN21+DATI!DA21+DATI!CN21+DATI!CA21+CN21+DA21+DN21+EA21</f>
        <v>365766.616875</v>
      </c>
      <c r="FL21" s="1221">
        <f>+EX21+EK21+DX21+DK21+CX21+CK21+DATI!GX21+DATI!GK21+DATI!FX21+DATI!FK21+DATI!EX21+DATI!EK21+DATI!DX21+DATI!DK21+DATI!CX21+DATI!CK21</f>
        <v>365766.62</v>
      </c>
      <c r="FM21" s="877">
        <f t="shared" si="18"/>
        <v>590766.6168750001</v>
      </c>
      <c r="FN21" s="877">
        <f>+BZ21+DATI!GM21+DATI!FZ21+DATI!FM21+DATI!EZ21+DATI!EM21+DATI!DZ21+DATI!DM21+DATI!CZ21+DATI!CM21+DATI!BZ21</f>
        <v>590766.625</v>
      </c>
      <c r="FO21" s="877">
        <f>+FE21-FM21</f>
        <v>217733.38312499993</v>
      </c>
      <c r="FP21" s="896">
        <f>+FN21/FE21</f>
        <v>0.7306946505875077</v>
      </c>
      <c r="FQ21" s="899"/>
      <c r="FR21" s="566">
        <v>38559</v>
      </c>
      <c r="FS21" s="655">
        <f>12+4+6+5</f>
        <v>27</v>
      </c>
      <c r="FT21" s="697">
        <f t="shared" si="23"/>
        <v>2.25</v>
      </c>
      <c r="FU21" s="441">
        <f t="shared" si="19"/>
        <v>39380.25</v>
      </c>
      <c r="FV21" s="1096" t="s">
        <v>434</v>
      </c>
      <c r="FW21" s="1161"/>
      <c r="FX21" s="1162"/>
      <c r="FY21" s="974">
        <v>1026879.43</v>
      </c>
      <c r="FZ21" s="974">
        <f>+FY21*0.5</f>
        <v>513439.715</v>
      </c>
      <c r="GA21" s="974"/>
      <c r="GB21" s="974"/>
      <c r="GC21" s="974"/>
      <c r="GD21" s="974"/>
    </row>
    <row r="22" spans="1:186" s="474" customFormat="1" ht="12" customHeight="1">
      <c r="A22" s="405">
        <v>20</v>
      </c>
      <c r="B22" s="406" t="e">
        <f>IF(#REF!&gt;0,"si","no")</f>
        <v>#REF!</v>
      </c>
      <c r="C22" s="407">
        <v>44</v>
      </c>
      <c r="D22" s="477" t="s">
        <v>370</v>
      </c>
      <c r="E22" s="690" t="s">
        <v>801</v>
      </c>
      <c r="F22" s="477" t="s">
        <v>480</v>
      </c>
      <c r="G22" s="477" t="s">
        <v>1354</v>
      </c>
      <c r="H22" s="820" t="s">
        <v>1355</v>
      </c>
      <c r="I22" s="526" t="s">
        <v>456</v>
      </c>
      <c r="J22" s="411">
        <v>3563800</v>
      </c>
      <c r="K22" s="410">
        <v>65</v>
      </c>
      <c r="L22" s="410" t="str">
        <f t="shared" si="0"/>
        <v>è</v>
      </c>
      <c r="M22" s="410" t="s">
        <v>793</v>
      </c>
      <c r="N22" s="409">
        <v>2332300</v>
      </c>
      <c r="O22" s="409">
        <f t="shared" si="1"/>
        <v>1231500</v>
      </c>
      <c r="P22" s="409">
        <f t="shared" si="2"/>
        <v>246300</v>
      </c>
      <c r="Q22" s="411">
        <f t="shared" si="3"/>
        <v>3810100</v>
      </c>
      <c r="R22" s="411">
        <f t="shared" si="4"/>
        <v>2316470</v>
      </c>
      <c r="S22" s="409">
        <f t="shared" si="5"/>
        <v>160095</v>
      </c>
      <c r="T22" s="411">
        <f t="shared" si="6"/>
        <v>2476565</v>
      </c>
      <c r="U22" s="411">
        <f t="shared" si="12"/>
        <v>1238282.5</v>
      </c>
      <c r="V22" s="411">
        <f t="shared" si="13"/>
        <v>866797.75</v>
      </c>
      <c r="W22" s="409">
        <f t="shared" si="14"/>
        <v>2105080.25</v>
      </c>
      <c r="X22" s="411">
        <f t="shared" si="7"/>
        <v>371484.75</v>
      </c>
      <c r="Y22" s="411">
        <f t="shared" si="8"/>
        <v>1247330</v>
      </c>
      <c r="Z22" s="411">
        <f t="shared" si="9"/>
        <v>1333535</v>
      </c>
      <c r="AA22" s="412" t="s">
        <v>794</v>
      </c>
      <c r="AB22" s="413" t="s">
        <v>795</v>
      </c>
      <c r="AC22" s="413" t="s">
        <v>802</v>
      </c>
      <c r="AD22" s="213" t="s">
        <v>797</v>
      </c>
      <c r="AE22" s="213" t="s">
        <v>798</v>
      </c>
      <c r="AF22" s="213" t="s">
        <v>141</v>
      </c>
      <c r="AG22" s="213">
        <v>184</v>
      </c>
      <c r="AH22" s="213">
        <v>70126</v>
      </c>
      <c r="AI22" s="405">
        <v>93301220724</v>
      </c>
      <c r="AJ22" s="414" t="s">
        <v>806</v>
      </c>
      <c r="AK22" s="415">
        <v>95</v>
      </c>
      <c r="AL22" s="415">
        <v>321</v>
      </c>
      <c r="AM22" s="420">
        <v>38198</v>
      </c>
      <c r="AN22" s="420">
        <v>38238</v>
      </c>
      <c r="AO22" s="406" t="s">
        <v>179</v>
      </c>
      <c r="AP22" s="406">
        <v>1791</v>
      </c>
      <c r="AQ22" s="415">
        <v>34</v>
      </c>
      <c r="AR22" s="415">
        <v>29</v>
      </c>
      <c r="AS22" s="678" t="s">
        <v>189</v>
      </c>
      <c r="AT22" s="677">
        <v>1</v>
      </c>
      <c r="AU22" s="470" t="s">
        <v>295</v>
      </c>
      <c r="AV22" s="471">
        <v>38287</v>
      </c>
      <c r="AW22" s="471">
        <v>38260</v>
      </c>
      <c r="AX22" s="1083">
        <v>38285</v>
      </c>
      <c r="AY22" s="155" t="s">
        <v>1090</v>
      </c>
      <c r="AZ22" s="155" t="s">
        <v>276</v>
      </c>
      <c r="BA22" s="155" t="s">
        <v>803</v>
      </c>
      <c r="BB22" s="155" t="s">
        <v>677</v>
      </c>
      <c r="BC22" s="432" t="s">
        <v>277</v>
      </c>
      <c r="BD22" s="155" t="s">
        <v>281</v>
      </c>
      <c r="BE22" s="155" t="s">
        <v>439</v>
      </c>
      <c r="BF22" s="414" t="s">
        <v>278</v>
      </c>
      <c r="BG22" s="471">
        <v>38281</v>
      </c>
      <c r="BH22" s="155" t="s">
        <v>280</v>
      </c>
      <c r="BI22" s="411">
        <v>742669.5</v>
      </c>
      <c r="BJ22" s="411">
        <f>BI22*0.85</f>
        <v>631269.075</v>
      </c>
      <c r="BK22" s="419">
        <f>Disponibilità!V46</f>
        <v>2003</v>
      </c>
      <c r="BL22" s="411">
        <f t="shared" si="10"/>
        <v>111400.425</v>
      </c>
      <c r="BM22" s="419">
        <f>Disponibilità!X46</f>
        <v>2003</v>
      </c>
      <c r="BN22" s="411">
        <f>BI22*0.35</f>
        <v>259934.32499999998</v>
      </c>
      <c r="BO22" s="411"/>
      <c r="BP22" s="411"/>
      <c r="BQ22" s="711" t="s">
        <v>156</v>
      </c>
      <c r="BR22" s="416">
        <v>38310</v>
      </c>
      <c r="BS22" s="416" t="s">
        <v>154</v>
      </c>
      <c r="BT22" s="711" t="s">
        <v>1109</v>
      </c>
      <c r="BU22" s="726" t="s">
        <v>212</v>
      </c>
      <c r="BV22" s="435">
        <v>38334</v>
      </c>
      <c r="BW22" s="430">
        <f>631269.08+111400.43</f>
        <v>742669.51</v>
      </c>
      <c r="BX22" s="878">
        <f>631269.08+111400.43</f>
        <v>742669.51</v>
      </c>
      <c r="BY22" s="872"/>
      <c r="BZ22" s="872"/>
      <c r="CA22" s="872"/>
      <c r="CB22" s="872"/>
      <c r="CC22" s="872"/>
      <c r="CD22" s="872"/>
      <c r="CE22" s="872"/>
      <c r="CF22" s="872"/>
      <c r="CG22" s="872"/>
      <c r="CH22" s="872"/>
      <c r="CI22" s="872"/>
      <c r="CJ22" s="872"/>
      <c r="CK22" s="872"/>
      <c r="CL22" s="872"/>
      <c r="CM22" s="872"/>
      <c r="CN22" s="872"/>
      <c r="CO22" s="872"/>
      <c r="CP22" s="872"/>
      <c r="CQ22" s="872"/>
      <c r="CR22" s="872"/>
      <c r="CS22" s="872"/>
      <c r="CT22" s="872"/>
      <c r="CU22" s="872"/>
      <c r="CV22" s="872"/>
      <c r="CW22" s="872"/>
      <c r="CX22" s="872"/>
      <c r="CY22" s="872"/>
      <c r="CZ22" s="872"/>
      <c r="DA22" s="872"/>
      <c r="DB22" s="872"/>
      <c r="DC22" s="872"/>
      <c r="DD22" s="872"/>
      <c r="DE22" s="872"/>
      <c r="DF22" s="872"/>
      <c r="DG22" s="872"/>
      <c r="DH22" s="872"/>
      <c r="DI22" s="872"/>
      <c r="DJ22" s="872"/>
      <c r="DK22" s="872"/>
      <c r="DL22" s="872"/>
      <c r="DM22" s="872"/>
      <c r="DN22" s="872"/>
      <c r="DO22" s="872"/>
      <c r="DP22" s="872"/>
      <c r="DQ22" s="872"/>
      <c r="DR22" s="872"/>
      <c r="DS22" s="872"/>
      <c r="DT22" s="872"/>
      <c r="DU22" s="872"/>
      <c r="DV22" s="872"/>
      <c r="DW22" s="872"/>
      <c r="DX22" s="872"/>
      <c r="DY22" s="872"/>
      <c r="DZ22" s="872"/>
      <c r="EA22" s="872"/>
      <c r="EB22" s="872"/>
      <c r="EC22" s="872"/>
      <c r="ED22" s="872"/>
      <c r="EE22" s="872"/>
      <c r="EF22" s="872"/>
      <c r="EG22" s="872"/>
      <c r="EH22" s="872"/>
      <c r="EI22" s="872"/>
      <c r="EJ22" s="872"/>
      <c r="EK22" s="872"/>
      <c r="EL22" s="872"/>
      <c r="EM22" s="872"/>
      <c r="EN22" s="872"/>
      <c r="EO22" s="872"/>
      <c r="EP22" s="872"/>
      <c r="EQ22" s="872"/>
      <c r="ER22" s="872"/>
      <c r="ES22" s="872"/>
      <c r="ET22" s="872"/>
      <c r="EU22" s="872"/>
      <c r="EV22" s="872"/>
      <c r="EW22" s="872"/>
      <c r="EX22" s="872"/>
      <c r="EY22" s="894">
        <f t="shared" si="17"/>
        <v>3810100</v>
      </c>
      <c r="EZ22" s="894"/>
      <c r="FA22" s="894">
        <f>+EY22</f>
        <v>3810100</v>
      </c>
      <c r="FB22" s="1089">
        <f>+BY22+DATI!GL22+DATI!FY22+DATI!FL22+DATI!EY22+DATI!EL22+DATI!DY22+DATI!DL22+DATI!CY22+DATI!CL22+DATI!BY22+CL22+CY22+DL22+DY22</f>
        <v>3070943.532630534</v>
      </c>
      <c r="FC22" s="894">
        <f>+EY22-FB22</f>
        <v>739156.4673694661</v>
      </c>
      <c r="FD22" s="895">
        <f t="shared" si="20"/>
        <v>0.8060007696990982</v>
      </c>
      <c r="FE22" s="897">
        <f t="shared" si="21"/>
        <v>2476565</v>
      </c>
      <c r="FF22" s="1126"/>
      <c r="FG22" s="1097"/>
      <c r="FH22" s="1098"/>
      <c r="FI22" s="897">
        <f>+FE22</f>
        <v>2476565</v>
      </c>
      <c r="FJ22" s="897">
        <f t="shared" si="24"/>
        <v>742669.51</v>
      </c>
      <c r="FK22" s="897">
        <f>+CA22+DATI!GN22+DATI!FN22+DATI!FA22+DATI!EN22+DATI!EA22+DATI!DN22+DATI!DA22+DATI!CN22+DATI!CA22+CN22+DA22+DN22+EA22</f>
        <v>1141586.8513811543</v>
      </c>
      <c r="FL22" s="1221">
        <f>+EX22+EK22+DX22+DK22+CX22+CK22+DATI!GX22+DATI!GK22+DATI!FX22+DATI!FK22+DATI!EX22+DATI!EK22+DATI!DX22+DATI!DK22+DATI!CX22+DATI!CK22</f>
        <v>1250711.6021930417</v>
      </c>
      <c r="FM22" s="877">
        <f t="shared" si="18"/>
        <v>1884256.3613811543</v>
      </c>
      <c r="FN22" s="877">
        <f>+BZ22+DATI!GM22+DATI!FZ22+DATI!FM22+DATI!EZ22+DATI!EM22+DATI!DZ22+DATI!DM22+DATI!CZ22+DATI!CM22+DATI!BZ22</f>
        <v>1996113.2962098473</v>
      </c>
      <c r="FO22" s="877">
        <f>+FE22-FM22</f>
        <v>592308.6386188457</v>
      </c>
      <c r="FP22" s="896">
        <f>+FN22/FE22</f>
        <v>0.8060007696990983</v>
      </c>
      <c r="FQ22" s="899"/>
      <c r="FR22" s="566">
        <v>38047</v>
      </c>
      <c r="FS22" s="655">
        <f>42+6</f>
        <v>48</v>
      </c>
      <c r="FT22" s="697">
        <f t="shared" si="23"/>
        <v>4</v>
      </c>
      <c r="FU22" s="441">
        <f t="shared" si="19"/>
        <v>39507</v>
      </c>
      <c r="FV22" s="1096" t="s">
        <v>434</v>
      </c>
      <c r="FW22" s="1161"/>
      <c r="FX22" s="1162"/>
      <c r="FY22" s="974">
        <v>338386.86</v>
      </c>
      <c r="FZ22" s="974">
        <f>+FY22*0.65</f>
        <v>219951.459</v>
      </c>
      <c r="GA22" s="974"/>
      <c r="GB22" s="974"/>
      <c r="GC22" s="974"/>
      <c r="GD22" s="974"/>
    </row>
    <row r="23" spans="1:186" s="474" customFormat="1" ht="12" customHeight="1">
      <c r="A23" s="421">
        <v>21</v>
      </c>
      <c r="B23" s="406" t="e">
        <f>IF(#REF!&gt;0,"si","no")</f>
        <v>#REF!</v>
      </c>
      <c r="C23" s="433">
        <v>45</v>
      </c>
      <c r="D23" s="474" t="s">
        <v>829</v>
      </c>
      <c r="E23" s="474" t="s">
        <v>830</v>
      </c>
      <c r="F23" s="474" t="s">
        <v>480</v>
      </c>
      <c r="G23" s="440" t="s">
        <v>1220</v>
      </c>
      <c r="H23" s="821" t="s">
        <v>1196</v>
      </c>
      <c r="I23" s="529" t="s">
        <v>1209</v>
      </c>
      <c r="J23" s="444">
        <v>498707</v>
      </c>
      <c r="K23" s="421">
        <v>65</v>
      </c>
      <c r="L23" s="421" t="str">
        <f t="shared" si="0"/>
        <v>è</v>
      </c>
      <c r="M23" s="410" t="s">
        <v>793</v>
      </c>
      <c r="N23" s="443">
        <v>48400</v>
      </c>
      <c r="O23" s="443">
        <f t="shared" si="1"/>
        <v>450307</v>
      </c>
      <c r="P23" s="443">
        <f t="shared" si="2"/>
        <v>90061.40000000001</v>
      </c>
      <c r="Q23" s="411">
        <f t="shared" si="3"/>
        <v>588768.4</v>
      </c>
      <c r="R23" s="444">
        <f t="shared" si="4"/>
        <v>324159.55</v>
      </c>
      <c r="S23" s="443">
        <f t="shared" si="5"/>
        <v>58539.91000000001</v>
      </c>
      <c r="T23" s="444">
        <f t="shared" si="6"/>
        <v>382699.46</v>
      </c>
      <c r="U23" s="411">
        <f t="shared" si="12"/>
        <v>191349.73</v>
      </c>
      <c r="V23" s="411">
        <f t="shared" si="13"/>
        <v>133944.811</v>
      </c>
      <c r="W23" s="443">
        <f t="shared" si="14"/>
        <v>325294.541</v>
      </c>
      <c r="X23" s="444">
        <f t="shared" si="7"/>
        <v>57404.919</v>
      </c>
      <c r="Y23" s="411">
        <f t="shared" si="8"/>
        <v>174547.45</v>
      </c>
      <c r="Z23" s="411">
        <f t="shared" si="9"/>
        <v>206068.94</v>
      </c>
      <c r="AA23" s="437" t="s">
        <v>794</v>
      </c>
      <c r="AB23" s="438" t="s">
        <v>795</v>
      </c>
      <c r="AC23" s="439" t="s">
        <v>831</v>
      </c>
      <c r="AD23" s="421" t="s">
        <v>803</v>
      </c>
      <c r="AE23" s="421" t="s">
        <v>804</v>
      </c>
      <c r="AF23" s="421" t="s">
        <v>832</v>
      </c>
      <c r="AG23" s="421">
        <v>39</v>
      </c>
      <c r="AH23" s="421">
        <v>73100</v>
      </c>
      <c r="AI23" s="439" t="s">
        <v>833</v>
      </c>
      <c r="AJ23" s="440" t="s">
        <v>64</v>
      </c>
      <c r="AK23" s="421">
        <v>81</v>
      </c>
      <c r="AL23" s="421">
        <v>252</v>
      </c>
      <c r="AM23" s="445">
        <v>38166</v>
      </c>
      <c r="AN23" s="445">
        <v>38191</v>
      </c>
      <c r="AO23" s="406" t="s">
        <v>5</v>
      </c>
      <c r="AP23" s="406">
        <v>1664</v>
      </c>
      <c r="AQ23" s="421" t="s">
        <v>1080</v>
      </c>
      <c r="AR23" s="439" t="s">
        <v>1081</v>
      </c>
      <c r="AS23" s="679" t="s">
        <v>210</v>
      </c>
      <c r="AT23" s="679" t="s">
        <v>170</v>
      </c>
      <c r="AU23" s="472" t="s">
        <v>295</v>
      </c>
      <c r="AV23" s="473">
        <v>38302</v>
      </c>
      <c r="AW23" s="445" t="s">
        <v>154</v>
      </c>
      <c r="AX23" s="1082">
        <v>38288</v>
      </c>
      <c r="AY23" s="474" t="s">
        <v>736</v>
      </c>
      <c r="AZ23" s="474" t="s">
        <v>737</v>
      </c>
      <c r="BA23" s="474" t="s">
        <v>738</v>
      </c>
      <c r="BB23" s="474" t="s">
        <v>666</v>
      </c>
      <c r="BC23" s="421">
        <v>1122498</v>
      </c>
      <c r="BD23" s="474" t="s">
        <v>1077</v>
      </c>
      <c r="BF23" s="440" t="s">
        <v>1078</v>
      </c>
      <c r="BG23" s="473">
        <v>38288</v>
      </c>
      <c r="BH23" s="474" t="s">
        <v>1079</v>
      </c>
      <c r="BI23" s="411">
        <v>97247.87</v>
      </c>
      <c r="BJ23" s="411">
        <f t="shared" si="16"/>
        <v>82660.6895</v>
      </c>
      <c r="BK23" s="419">
        <f>Disponibilità!V34</f>
        <v>2003</v>
      </c>
      <c r="BL23" s="411">
        <f t="shared" si="10"/>
        <v>14587.180499999999</v>
      </c>
      <c r="BM23" s="419">
        <f>Disponibilità!X34</f>
        <v>2001</v>
      </c>
      <c r="BN23" s="411">
        <f>BI23*0.35</f>
        <v>34036.754499999995</v>
      </c>
      <c r="BO23" s="411">
        <f>+BN23*0.04</f>
        <v>1361.4701799999998</v>
      </c>
      <c r="BP23" s="411">
        <f>+BL23*0.04</f>
        <v>583.48722</v>
      </c>
      <c r="BQ23" s="540">
        <v>560</v>
      </c>
      <c r="BR23" s="445">
        <v>38307</v>
      </c>
      <c r="BS23" s="445" t="s">
        <v>295</v>
      </c>
      <c r="BT23" s="540">
        <v>5146</v>
      </c>
      <c r="BU23" s="837" t="s">
        <v>1055</v>
      </c>
      <c r="BV23" s="445">
        <v>38324</v>
      </c>
      <c r="BW23" s="443">
        <f>82660.69+14587.18</f>
        <v>97247.87</v>
      </c>
      <c r="BX23" s="877">
        <f>82660.69+14587.18</f>
        <v>97247.87</v>
      </c>
      <c r="BY23" s="870"/>
      <c r="BZ23" s="870"/>
      <c r="CA23" s="870"/>
      <c r="CB23" s="870"/>
      <c r="CC23" s="870"/>
      <c r="CD23" s="870"/>
      <c r="CE23" s="870"/>
      <c r="CF23" s="870"/>
      <c r="CG23" s="870"/>
      <c r="CH23" s="870"/>
      <c r="CI23" s="870"/>
      <c r="CJ23" s="870"/>
      <c r="CK23" s="870"/>
      <c r="CL23" s="870"/>
      <c r="CM23" s="870"/>
      <c r="CN23" s="870"/>
      <c r="CO23" s="870"/>
      <c r="CP23" s="870"/>
      <c r="CQ23" s="870"/>
      <c r="CR23" s="870"/>
      <c r="CS23" s="870"/>
      <c r="CT23" s="870"/>
      <c r="CU23" s="870"/>
      <c r="CV23" s="870"/>
      <c r="CW23" s="870"/>
      <c r="CX23" s="870"/>
      <c r="CY23" s="870"/>
      <c r="CZ23" s="870"/>
      <c r="DA23" s="870"/>
      <c r="DB23" s="870"/>
      <c r="DC23" s="870"/>
      <c r="DD23" s="870"/>
      <c r="DE23" s="870"/>
      <c r="DF23" s="870"/>
      <c r="DG23" s="870"/>
      <c r="DH23" s="870"/>
      <c r="DI23" s="870"/>
      <c r="DJ23" s="870"/>
      <c r="DK23" s="870"/>
      <c r="DL23" s="870"/>
      <c r="DM23" s="870"/>
      <c r="DN23" s="870"/>
      <c r="DO23" s="870"/>
      <c r="DP23" s="870"/>
      <c r="DQ23" s="870"/>
      <c r="DR23" s="870"/>
      <c r="DS23" s="870"/>
      <c r="DT23" s="870"/>
      <c r="DU23" s="870"/>
      <c r="DV23" s="870"/>
      <c r="DW23" s="870"/>
      <c r="DX23" s="870"/>
      <c r="DY23" s="870"/>
      <c r="DZ23" s="870"/>
      <c r="EA23" s="870"/>
      <c r="EB23" s="870"/>
      <c r="EC23" s="870"/>
      <c r="ED23" s="870"/>
      <c r="EE23" s="870"/>
      <c r="EF23" s="870"/>
      <c r="EG23" s="870"/>
      <c r="EH23" s="870"/>
      <c r="EI23" s="870"/>
      <c r="EJ23" s="870"/>
      <c r="EK23" s="870"/>
      <c r="EL23" s="870"/>
      <c r="EM23" s="870"/>
      <c r="EN23" s="870"/>
      <c r="EO23" s="870"/>
      <c r="EP23" s="870"/>
      <c r="EQ23" s="870"/>
      <c r="ER23" s="870"/>
      <c r="ES23" s="870"/>
      <c r="ET23" s="870"/>
      <c r="EU23" s="870"/>
      <c r="EV23" s="870"/>
      <c r="EW23" s="870"/>
      <c r="EX23" s="870"/>
      <c r="EY23" s="894">
        <f t="shared" si="17"/>
        <v>588768.4</v>
      </c>
      <c r="EZ23" s="894">
        <f>+EY23-FA23</f>
        <v>90841.35000000003</v>
      </c>
      <c r="FA23" s="894">
        <v>497927.05</v>
      </c>
      <c r="FB23" s="1089">
        <f>+BY23+DATI!GL23+DATI!FY23+DATI!FL23+DATI!EY23+DATI!EL23+DATI!DY23+DATI!DL23+DATI!CY23+DATI!CL23+DATI!BY23+CL23+CY23+DL23+DY23</f>
        <v>497927.05</v>
      </c>
      <c r="FC23" s="894">
        <f>+FA23-FB23</f>
        <v>0</v>
      </c>
      <c r="FD23" s="895">
        <f>FB23/FA23</f>
        <v>1</v>
      </c>
      <c r="FE23" s="897">
        <f t="shared" si="21"/>
        <v>382699.46</v>
      </c>
      <c r="FF23" s="1092"/>
      <c r="FG23" s="1097"/>
      <c r="FH23" s="1098"/>
      <c r="FI23" s="897">
        <f>+FE23-FF23</f>
        <v>382699.46</v>
      </c>
      <c r="FJ23" s="897">
        <f t="shared" si="24"/>
        <v>97247.87</v>
      </c>
      <c r="FK23" s="897">
        <f>+CA23+DATI!GN23+DATI!FN23+DATI!FA23+DATI!EN23+DATI!EA23+DATI!DN23+DATI!DA23+DATI!CN23+DATI!CA23+CN23+DA23+DN23+EA23</f>
        <v>226404.7194375</v>
      </c>
      <c r="FL23" s="1221">
        <f>+EX23+EK23+DX23+DK23+CX23+CK23+DATI!GX23+DATI!GK23+DATI!FX23+DATI!FK23+DATI!EX23+DATI!EK23+DATI!DX23+DATI!DK23+DATI!CX23+DATI!CK23</f>
        <v>225029.931</v>
      </c>
      <c r="FM23" s="877">
        <f t="shared" si="18"/>
        <v>323652.5894375</v>
      </c>
      <c r="FN23" s="877">
        <f>+BZ23+DATI!GM23+DATI!FZ23+DATI!FM23+DATI!EZ23+DATI!EM23+DATI!DZ23+DATI!DM23+DATI!CZ23+DATI!CM23+DATI!BZ23</f>
        <v>323652.58249999996</v>
      </c>
      <c r="FO23" s="877">
        <f>+FI23-FM23</f>
        <v>59046.87056250003</v>
      </c>
      <c r="FP23" s="896">
        <f>+FN23/FI23</f>
        <v>0.8457095353622918</v>
      </c>
      <c r="FQ23" s="899"/>
      <c r="FR23" s="568">
        <v>38169</v>
      </c>
      <c r="FS23" s="571">
        <f>15+6+9</f>
        <v>30</v>
      </c>
      <c r="FT23" s="733">
        <f t="shared" si="23"/>
        <v>2.5</v>
      </c>
      <c r="FU23" s="441">
        <f t="shared" si="19"/>
        <v>39081.5</v>
      </c>
      <c r="FV23" s="1096" t="s">
        <v>434</v>
      </c>
      <c r="FW23" s="1161">
        <v>428</v>
      </c>
      <c r="FX23" s="1162">
        <v>39413</v>
      </c>
      <c r="FY23" s="974">
        <v>497927.05</v>
      </c>
      <c r="FZ23" s="974">
        <f>+FY23*0.65</f>
        <v>323652.5825</v>
      </c>
      <c r="GA23" s="974"/>
      <c r="GB23" s="974"/>
      <c r="GC23" s="974"/>
      <c r="GD23" s="974"/>
    </row>
    <row r="24" spans="1:186" s="155" customFormat="1" ht="12" customHeight="1">
      <c r="A24" s="421">
        <v>22</v>
      </c>
      <c r="B24" s="406" t="e">
        <f>IF(#REF!&gt;0,"si","no")</f>
        <v>#REF!</v>
      </c>
      <c r="C24" s="428">
        <v>46</v>
      </c>
      <c r="D24" s="155" t="s">
        <v>140</v>
      </c>
      <c r="E24" s="155" t="s">
        <v>756</v>
      </c>
      <c r="F24" s="155" t="s">
        <v>480</v>
      </c>
      <c r="G24" s="155" t="s">
        <v>51</v>
      </c>
      <c r="H24" s="822" t="s">
        <v>1357</v>
      </c>
      <c r="I24" s="528" t="s">
        <v>410</v>
      </c>
      <c r="J24" s="431">
        <v>538800</v>
      </c>
      <c r="K24" s="405">
        <v>65</v>
      </c>
      <c r="L24" s="410" t="str">
        <f t="shared" si="0"/>
        <v>è</v>
      </c>
      <c r="M24" s="410" t="s">
        <v>793</v>
      </c>
      <c r="N24" s="430">
        <v>92980</v>
      </c>
      <c r="O24" s="430">
        <f t="shared" si="1"/>
        <v>445820</v>
      </c>
      <c r="P24" s="430">
        <f t="shared" si="2"/>
        <v>89164</v>
      </c>
      <c r="Q24" s="411">
        <f t="shared" si="3"/>
        <v>627964</v>
      </c>
      <c r="R24" s="431">
        <f t="shared" si="4"/>
        <v>350220</v>
      </c>
      <c r="S24" s="430">
        <f t="shared" si="5"/>
        <v>57956.6</v>
      </c>
      <c r="T24" s="431">
        <f t="shared" si="6"/>
        <v>408176.6</v>
      </c>
      <c r="U24" s="411">
        <f t="shared" si="12"/>
        <v>204088.3</v>
      </c>
      <c r="V24" s="411">
        <f t="shared" si="13"/>
        <v>142861.80999999997</v>
      </c>
      <c r="W24" s="430">
        <f t="shared" si="14"/>
        <v>346950.11</v>
      </c>
      <c r="X24" s="431">
        <f t="shared" si="7"/>
        <v>61226.48999999999</v>
      </c>
      <c r="Y24" s="411">
        <f t="shared" si="8"/>
        <v>188580</v>
      </c>
      <c r="Z24" s="411">
        <f t="shared" si="9"/>
        <v>219787.40000000002</v>
      </c>
      <c r="AA24" s="412" t="s">
        <v>794</v>
      </c>
      <c r="AB24" s="432" t="s">
        <v>895</v>
      </c>
      <c r="AC24" s="432" t="s">
        <v>902</v>
      </c>
      <c r="AD24" s="405" t="s">
        <v>903</v>
      </c>
      <c r="AE24" s="405" t="s">
        <v>904</v>
      </c>
      <c r="AF24" s="405" t="s">
        <v>1392</v>
      </c>
      <c r="AG24" s="405">
        <v>93</v>
      </c>
      <c r="AH24" s="405">
        <v>71100</v>
      </c>
      <c r="AI24" s="405">
        <v>94052770719</v>
      </c>
      <c r="AJ24" s="414" t="s">
        <v>185</v>
      </c>
      <c r="AK24" s="405">
        <v>55</v>
      </c>
      <c r="AL24" s="405">
        <v>377</v>
      </c>
      <c r="AM24" s="416">
        <v>38265</v>
      </c>
      <c r="AN24" s="416">
        <v>38293</v>
      </c>
      <c r="AO24" s="406" t="s">
        <v>254</v>
      </c>
      <c r="AP24" s="406">
        <v>1958</v>
      </c>
      <c r="AQ24" s="405">
        <v>40</v>
      </c>
      <c r="AR24" s="405">
        <v>35</v>
      </c>
      <c r="AS24" s="678" t="s">
        <v>255</v>
      </c>
      <c r="AT24" s="678" t="s">
        <v>1311</v>
      </c>
      <c r="AU24" s="470" t="s">
        <v>295</v>
      </c>
      <c r="AV24" s="471">
        <v>39065</v>
      </c>
      <c r="AW24" s="416">
        <v>38985</v>
      </c>
      <c r="AX24" s="416"/>
      <c r="AY24" s="155" t="s">
        <v>338</v>
      </c>
      <c r="AZ24" s="155" t="s">
        <v>339</v>
      </c>
      <c r="BA24" s="155" t="s">
        <v>1260</v>
      </c>
      <c r="BB24" s="155" t="s">
        <v>340</v>
      </c>
      <c r="BC24" s="405">
        <v>14573</v>
      </c>
      <c r="BD24" s="535" t="s">
        <v>341</v>
      </c>
      <c r="BE24" s="535"/>
      <c r="BF24" s="535" t="s">
        <v>1387</v>
      </c>
      <c r="BG24" s="471">
        <v>39014</v>
      </c>
      <c r="BH24" s="155" t="s">
        <v>1388</v>
      </c>
      <c r="BI24" s="411">
        <f t="shared" si="15"/>
        <v>122452.97999999998</v>
      </c>
      <c r="BJ24" s="411">
        <f t="shared" si="16"/>
        <v>104085.03299999998</v>
      </c>
      <c r="BK24" s="419"/>
      <c r="BL24" s="411">
        <f t="shared" si="10"/>
        <v>18367.946999999996</v>
      </c>
      <c r="BM24" s="419"/>
      <c r="BN24" s="411">
        <f>BI24*0.35</f>
        <v>42858.54299999999</v>
      </c>
      <c r="BO24" s="411">
        <v>0</v>
      </c>
      <c r="BP24" s="411">
        <v>0</v>
      </c>
      <c r="BQ24" s="539">
        <v>24</v>
      </c>
      <c r="BR24" s="416">
        <v>39121</v>
      </c>
      <c r="BS24" s="405" t="s">
        <v>154</v>
      </c>
      <c r="BT24" s="539"/>
      <c r="BU24" s="726" t="s">
        <v>1396</v>
      </c>
      <c r="BV24" s="416">
        <v>39133</v>
      </c>
      <c r="BW24" s="430">
        <f>104085.03+18367.95</f>
        <v>122452.98</v>
      </c>
      <c r="BX24" s="878">
        <f>104085.03+18367.95</f>
        <v>122452.98</v>
      </c>
      <c r="BY24" s="872"/>
      <c r="BZ24" s="872"/>
      <c r="CA24" s="872"/>
      <c r="CB24" s="872"/>
      <c r="CC24" s="872"/>
      <c r="CD24" s="872"/>
      <c r="CE24" s="872"/>
      <c r="CF24" s="872"/>
      <c r="CG24" s="872"/>
      <c r="CH24" s="872"/>
      <c r="CI24" s="872"/>
      <c r="CJ24" s="872"/>
      <c r="CK24" s="872"/>
      <c r="CL24" s="872"/>
      <c r="CM24" s="872"/>
      <c r="CN24" s="872"/>
      <c r="CO24" s="872"/>
      <c r="CP24" s="872"/>
      <c r="CQ24" s="872"/>
      <c r="CR24" s="872"/>
      <c r="CS24" s="872"/>
      <c r="CT24" s="872"/>
      <c r="CU24" s="872"/>
      <c r="CV24" s="872"/>
      <c r="CW24" s="872"/>
      <c r="CX24" s="872"/>
      <c r="CY24" s="872"/>
      <c r="CZ24" s="872"/>
      <c r="DA24" s="872"/>
      <c r="DB24" s="872"/>
      <c r="DC24" s="872"/>
      <c r="DD24" s="872"/>
      <c r="DE24" s="872"/>
      <c r="DF24" s="872"/>
      <c r="DG24" s="872"/>
      <c r="DH24" s="872"/>
      <c r="DI24" s="872"/>
      <c r="DJ24" s="872"/>
      <c r="DK24" s="872"/>
      <c r="DL24" s="872"/>
      <c r="DM24" s="872"/>
      <c r="DN24" s="872"/>
      <c r="DO24" s="872"/>
      <c r="DP24" s="872"/>
      <c r="DQ24" s="872"/>
      <c r="DR24" s="872"/>
      <c r="DS24" s="872"/>
      <c r="DT24" s="872"/>
      <c r="DU24" s="872"/>
      <c r="DV24" s="872"/>
      <c r="DW24" s="872"/>
      <c r="DX24" s="872"/>
      <c r="DY24" s="872"/>
      <c r="DZ24" s="872"/>
      <c r="EA24" s="872"/>
      <c r="EB24" s="872"/>
      <c r="EC24" s="872"/>
      <c r="ED24" s="872"/>
      <c r="EE24" s="872"/>
      <c r="EF24" s="872"/>
      <c r="EG24" s="872"/>
      <c r="EH24" s="872"/>
      <c r="EI24" s="872"/>
      <c r="EJ24" s="872"/>
      <c r="EK24" s="872"/>
      <c r="EL24" s="872"/>
      <c r="EM24" s="872"/>
      <c r="EN24" s="872"/>
      <c r="EO24" s="872"/>
      <c r="EP24" s="872"/>
      <c r="EQ24" s="872"/>
      <c r="ER24" s="872"/>
      <c r="ES24" s="872"/>
      <c r="ET24" s="872"/>
      <c r="EU24" s="872"/>
      <c r="EV24" s="872"/>
      <c r="EW24" s="872"/>
      <c r="EX24" s="872"/>
      <c r="EY24" s="894">
        <f t="shared" si="17"/>
        <v>627964</v>
      </c>
      <c r="EZ24" s="894">
        <f>+EY24-FA24</f>
        <v>444278.32999999996</v>
      </c>
      <c r="FA24" s="894">
        <v>183685.67</v>
      </c>
      <c r="FB24" s="1089">
        <f>+BY24+DATI!GL24+DATI!FY24+DATI!FL24+DATI!EY24+DATI!EL24+DATI!DY24+DATI!DL24+DATI!CY24+DATI!CL24+DATI!BY24+CL24+CY24+DL24+DY24</f>
        <v>0</v>
      </c>
      <c r="FC24" s="894">
        <f>+EY24-FB24</f>
        <v>627964</v>
      </c>
      <c r="FD24" s="895">
        <f t="shared" si="20"/>
        <v>0</v>
      </c>
      <c r="FE24" s="897">
        <f t="shared" si="21"/>
        <v>408176.6</v>
      </c>
      <c r="FF24" s="1092">
        <v>285732.62</v>
      </c>
      <c r="FG24" s="1097">
        <v>150</v>
      </c>
      <c r="FH24" s="1098">
        <v>39581</v>
      </c>
      <c r="FI24" s="897">
        <f>+FE24-FF24</f>
        <v>122443.97999999998</v>
      </c>
      <c r="FJ24" s="897">
        <f t="shared" si="24"/>
        <v>122452.98</v>
      </c>
      <c r="FK24" s="897">
        <f>+CA24+DATI!GN24+DATI!FN24+DATI!FA24+DATI!EN24+DATI!EA24+DATI!DN24+DATI!DA24+DATI!CN24+DATI!CA24+CN24+DA24+DN24+EA24</f>
        <v>0</v>
      </c>
      <c r="FL24" s="1221">
        <f>+EX24+EK24+DX24+DK24+CX24+CK24+DATI!GX24+DATI!GK24+DATI!FX24+DATI!FK24+DATI!EX24+DATI!EK24+DATI!DX24+DATI!DK24+DATI!CX24+DATI!CK24</f>
        <v>0</v>
      </c>
      <c r="FM24" s="877">
        <f t="shared" si="18"/>
        <v>122452.98</v>
      </c>
      <c r="FN24" s="877">
        <f>+BZ24+DATI!GM24+DATI!FZ24+DATI!FM24+DATI!EZ24+DATI!EM24+DATI!DZ24+DATI!DM24+DATI!CZ24+DATI!CM24+DATI!BZ24</f>
        <v>0</v>
      </c>
      <c r="FO24" s="877">
        <f>+FE24-FM24</f>
        <v>285723.62</v>
      </c>
      <c r="FP24" s="896">
        <f>+FN24/FE24</f>
        <v>0</v>
      </c>
      <c r="FQ24" s="899"/>
      <c r="FR24" s="566">
        <v>38961</v>
      </c>
      <c r="FS24" s="655">
        <v>15</v>
      </c>
      <c r="FT24" s="697">
        <f t="shared" si="23"/>
        <v>1.25</v>
      </c>
      <c r="FU24" s="441">
        <f t="shared" si="19"/>
        <v>39417.25</v>
      </c>
      <c r="FV24" s="1096" t="s">
        <v>434</v>
      </c>
      <c r="FW24" s="1161" t="s">
        <v>1478</v>
      </c>
      <c r="FX24" s="1162"/>
      <c r="FY24" s="974">
        <v>0</v>
      </c>
      <c r="FZ24" s="974">
        <v>0</v>
      </c>
      <c r="GA24" s="974"/>
      <c r="GB24" s="974"/>
      <c r="GC24" s="974"/>
      <c r="GD24" s="974"/>
    </row>
    <row r="25" spans="1:186" s="474" customFormat="1" ht="12" customHeight="1">
      <c r="A25" s="421">
        <v>23</v>
      </c>
      <c r="B25" s="406" t="s">
        <v>177</v>
      </c>
      <c r="C25" s="433">
        <v>47</v>
      </c>
      <c r="D25" s="474" t="s">
        <v>272</v>
      </c>
      <c r="E25" s="474" t="s">
        <v>919</v>
      </c>
      <c r="F25" s="474" t="s">
        <v>480</v>
      </c>
      <c r="G25" s="474" t="s">
        <v>1022</v>
      </c>
      <c r="H25" s="821" t="s">
        <v>1187</v>
      </c>
      <c r="I25" s="529" t="s">
        <v>1217</v>
      </c>
      <c r="J25" s="444">
        <v>333175</v>
      </c>
      <c r="K25" s="421">
        <v>50</v>
      </c>
      <c r="L25" s="410" t="str">
        <f t="shared" si="0"/>
        <v>non è</v>
      </c>
      <c r="M25" s="410" t="s">
        <v>809</v>
      </c>
      <c r="N25" s="443">
        <v>51600</v>
      </c>
      <c r="O25" s="443">
        <f t="shared" si="1"/>
        <v>281575</v>
      </c>
      <c r="P25" s="443">
        <f t="shared" si="2"/>
        <v>56315</v>
      </c>
      <c r="Q25" s="411">
        <f t="shared" si="3"/>
        <v>389490</v>
      </c>
      <c r="R25" s="444">
        <f t="shared" si="4"/>
        <v>166587.5</v>
      </c>
      <c r="S25" s="443">
        <f t="shared" si="5"/>
        <v>28157.5</v>
      </c>
      <c r="T25" s="444">
        <f t="shared" si="6"/>
        <v>194745</v>
      </c>
      <c r="U25" s="411">
        <f t="shared" si="12"/>
        <v>97372.5</v>
      </c>
      <c r="V25" s="411">
        <f t="shared" si="13"/>
        <v>68160.75</v>
      </c>
      <c r="W25" s="443">
        <f t="shared" si="14"/>
        <v>165533.25</v>
      </c>
      <c r="X25" s="444">
        <f t="shared" si="7"/>
        <v>29211.75</v>
      </c>
      <c r="Y25" s="411">
        <f t="shared" si="8"/>
        <v>166587.5</v>
      </c>
      <c r="Z25" s="411">
        <f t="shared" si="9"/>
        <v>194745</v>
      </c>
      <c r="AA25" s="437" t="s">
        <v>794</v>
      </c>
      <c r="AB25" s="439" t="s">
        <v>920</v>
      </c>
      <c r="AC25" s="439" t="s">
        <v>921</v>
      </c>
      <c r="AD25" s="421" t="s">
        <v>903</v>
      </c>
      <c r="AE25" s="421" t="s">
        <v>904</v>
      </c>
      <c r="AF25" s="421" t="s">
        <v>36</v>
      </c>
      <c r="AG25" s="421">
        <v>15</v>
      </c>
      <c r="AH25" s="421">
        <v>71100</v>
      </c>
      <c r="AI25" s="421">
        <v>1011660717</v>
      </c>
      <c r="AJ25" s="440" t="s">
        <v>71</v>
      </c>
      <c r="AK25" s="421">
        <v>51</v>
      </c>
      <c r="AL25" s="421">
        <v>333</v>
      </c>
      <c r="AM25" s="445">
        <v>38205</v>
      </c>
      <c r="AN25" s="445">
        <v>38246</v>
      </c>
      <c r="AO25" s="406" t="s">
        <v>256</v>
      </c>
      <c r="AP25" s="406">
        <v>1805</v>
      </c>
      <c r="AQ25" s="421">
        <v>39</v>
      </c>
      <c r="AR25" s="421">
        <v>34</v>
      </c>
      <c r="AS25" s="679" t="s">
        <v>251</v>
      </c>
      <c r="AT25" s="679" t="s">
        <v>174</v>
      </c>
      <c r="AU25" s="472" t="s">
        <v>295</v>
      </c>
      <c r="AV25" s="473">
        <v>38281</v>
      </c>
      <c r="AW25" s="445" t="s">
        <v>154</v>
      </c>
      <c r="AX25" s="1082">
        <v>38268</v>
      </c>
      <c r="AY25" s="474" t="s">
        <v>269</v>
      </c>
      <c r="AZ25" s="474" t="s">
        <v>1134</v>
      </c>
      <c r="BA25" s="474" t="s">
        <v>271</v>
      </c>
      <c r="BC25" s="421">
        <v>21814</v>
      </c>
      <c r="BD25" s="474" t="s">
        <v>270</v>
      </c>
      <c r="BF25" s="474">
        <v>6221</v>
      </c>
      <c r="BG25" s="473">
        <v>38266</v>
      </c>
      <c r="BH25" s="474" t="s">
        <v>289</v>
      </c>
      <c r="BI25" s="411">
        <f t="shared" si="15"/>
        <v>58423.5</v>
      </c>
      <c r="BJ25" s="411">
        <f t="shared" si="16"/>
        <v>49659.975</v>
      </c>
      <c r="BK25" s="419">
        <f>Disponibilità!V54</f>
        <v>2003</v>
      </c>
      <c r="BL25" s="411">
        <f t="shared" si="10"/>
        <v>8763.525</v>
      </c>
      <c r="BM25" s="419">
        <f>Disponibilità!X54</f>
        <v>2003</v>
      </c>
      <c r="BN25" s="411">
        <f>BI25*0.35</f>
        <v>20448.225</v>
      </c>
      <c r="BO25" s="411"/>
      <c r="BP25" s="411"/>
      <c r="BQ25" s="540">
        <v>475</v>
      </c>
      <c r="BR25" s="445">
        <v>38289</v>
      </c>
      <c r="BS25" s="445" t="s">
        <v>154</v>
      </c>
      <c r="BT25" s="711" t="s">
        <v>1111</v>
      </c>
      <c r="BU25" s="838" t="s">
        <v>1054</v>
      </c>
      <c r="BV25" s="435">
        <v>38323</v>
      </c>
      <c r="BW25" s="430">
        <f>49659.97+8763.53</f>
        <v>58423.5</v>
      </c>
      <c r="BX25" s="878">
        <f>49659.97+8763.53</f>
        <v>58423.5</v>
      </c>
      <c r="BY25" s="872"/>
      <c r="BZ25" s="872"/>
      <c r="CA25" s="872"/>
      <c r="CB25" s="872"/>
      <c r="CC25" s="872"/>
      <c r="CD25" s="872"/>
      <c r="CE25" s="872"/>
      <c r="CF25" s="872"/>
      <c r="CG25" s="872"/>
      <c r="CH25" s="872"/>
      <c r="CI25" s="872"/>
      <c r="CJ25" s="872"/>
      <c r="CK25" s="872"/>
      <c r="CL25" s="872"/>
      <c r="CM25" s="872"/>
      <c r="CN25" s="872"/>
      <c r="CO25" s="872"/>
      <c r="CP25" s="872"/>
      <c r="CQ25" s="872"/>
      <c r="CR25" s="872"/>
      <c r="CS25" s="872"/>
      <c r="CT25" s="872"/>
      <c r="CU25" s="872"/>
      <c r="CV25" s="872"/>
      <c r="CW25" s="872"/>
      <c r="CX25" s="872"/>
      <c r="CY25" s="872"/>
      <c r="CZ25" s="872"/>
      <c r="DA25" s="872"/>
      <c r="DB25" s="872"/>
      <c r="DC25" s="872"/>
      <c r="DD25" s="872"/>
      <c r="DE25" s="872"/>
      <c r="DF25" s="872"/>
      <c r="DG25" s="872"/>
      <c r="DH25" s="872"/>
      <c r="DI25" s="872"/>
      <c r="DJ25" s="872"/>
      <c r="DK25" s="872"/>
      <c r="DL25" s="872"/>
      <c r="DM25" s="872"/>
      <c r="DN25" s="872"/>
      <c r="DO25" s="872"/>
      <c r="DP25" s="872"/>
      <c r="DQ25" s="872"/>
      <c r="DR25" s="872"/>
      <c r="DS25" s="872"/>
      <c r="DT25" s="872"/>
      <c r="DU25" s="872"/>
      <c r="DV25" s="872"/>
      <c r="DW25" s="872"/>
      <c r="DX25" s="872"/>
      <c r="DY25" s="872"/>
      <c r="DZ25" s="872"/>
      <c r="EA25" s="872"/>
      <c r="EB25" s="872"/>
      <c r="EC25" s="872"/>
      <c r="ED25" s="872"/>
      <c r="EE25" s="872"/>
      <c r="EF25" s="872"/>
      <c r="EG25" s="872"/>
      <c r="EH25" s="872"/>
      <c r="EI25" s="872"/>
      <c r="EJ25" s="872"/>
      <c r="EK25" s="872"/>
      <c r="EL25" s="872"/>
      <c r="EM25" s="872"/>
      <c r="EN25" s="872"/>
      <c r="EO25" s="872"/>
      <c r="EP25" s="872"/>
      <c r="EQ25" s="872"/>
      <c r="ER25" s="872"/>
      <c r="ES25" s="872"/>
      <c r="ET25" s="872"/>
      <c r="EU25" s="872"/>
      <c r="EV25" s="872"/>
      <c r="EW25" s="872"/>
      <c r="EX25" s="872"/>
      <c r="EY25" s="894">
        <f t="shared" si="17"/>
        <v>389490</v>
      </c>
      <c r="EZ25" s="894">
        <f>+EY25-FA25</f>
        <v>15697.4200333333</v>
      </c>
      <c r="FA25" s="894">
        <v>373792.5799666667</v>
      </c>
      <c r="FB25" s="1089">
        <f>+BY25+DATI!GL25+DATI!FY25+DATI!FL25+DATI!EY25+DATI!EL25+DATI!DY25+DATI!DL25+DATI!CY25+DATI!CL25+DATI!BY25+CL25+CY25+DL25+DY25</f>
        <v>373792.5799666667</v>
      </c>
      <c r="FC25" s="894">
        <f>+FA25-FB25</f>
        <v>0</v>
      </c>
      <c r="FD25" s="895">
        <f>FB25/FA25</f>
        <v>1</v>
      </c>
      <c r="FE25" s="897">
        <f t="shared" si="21"/>
        <v>194745</v>
      </c>
      <c r="FF25" s="1092">
        <f>+EZ25*0.5</f>
        <v>7848.71001666665</v>
      </c>
      <c r="FG25" s="1097">
        <v>169</v>
      </c>
      <c r="FH25" s="1098">
        <v>39583</v>
      </c>
      <c r="FI25" s="897">
        <f>+FE25-FF25</f>
        <v>186896.28998333335</v>
      </c>
      <c r="FJ25" s="897">
        <f t="shared" si="24"/>
        <v>58423.5</v>
      </c>
      <c r="FK25" s="897">
        <f>+CA25+DATI!GN25+DATI!FN25+DATI!FA25+DATI!EN25+DATI!EA25+DATI!DN25+DATI!DA25+DATI!CN25+DATI!CA25+CN25+DA25+DN25+EA25</f>
        <v>128472.79067708335</v>
      </c>
      <c r="FL25" s="1221">
        <f>+EX25+EK25+DX25+DK25+CX25+CK25+DATI!GX25+DATI!GK25+DATI!FX25+DATI!FK25+DATI!EX25+DATI!EK25+DATI!DX25+DATI!DK25+DATI!CX25+DATI!CK25</f>
        <v>128472.8</v>
      </c>
      <c r="FM25" s="877">
        <f t="shared" si="18"/>
        <v>186896.29067708337</v>
      </c>
      <c r="FN25" s="877">
        <f>+BZ25+DATI!GM25+DATI!FZ25+DATI!FM25+DATI!EZ25+DATI!EM25+DATI!DZ25+DATI!DM25+DATI!CZ25+DATI!CM25+DATI!BZ25</f>
        <v>186896.28998333335</v>
      </c>
      <c r="FO25" s="877">
        <f>+FI25-FM25</f>
        <v>-0.0006937500147614628</v>
      </c>
      <c r="FP25" s="896">
        <f>+FN25/FI25</f>
        <v>1</v>
      </c>
      <c r="FQ25" s="899"/>
      <c r="FR25" s="568">
        <v>38139</v>
      </c>
      <c r="FS25" s="571">
        <v>16</v>
      </c>
      <c r="FT25" s="697">
        <f t="shared" si="23"/>
        <v>1.3333333333333333</v>
      </c>
      <c r="FU25" s="441">
        <f t="shared" si="19"/>
        <v>38625.666666666664</v>
      </c>
      <c r="FV25" s="1096" t="s">
        <v>434</v>
      </c>
      <c r="FW25" s="1161">
        <v>395</v>
      </c>
      <c r="FX25" s="1162">
        <v>39393</v>
      </c>
      <c r="FY25" s="974">
        <v>373792.5799666667</v>
      </c>
      <c r="FZ25" s="974">
        <f>+FY25*0.5</f>
        <v>186896.28998333335</v>
      </c>
      <c r="GA25" s="974"/>
      <c r="GB25" s="974"/>
      <c r="GC25" s="974"/>
      <c r="GD25" s="974"/>
    </row>
    <row r="26" spans="1:186" s="474" customFormat="1" ht="12" customHeight="1">
      <c r="A26" s="421">
        <v>24</v>
      </c>
      <c r="B26" s="406" t="s">
        <v>177</v>
      </c>
      <c r="C26" s="433">
        <v>50</v>
      </c>
      <c r="D26" s="474" t="s">
        <v>126</v>
      </c>
      <c r="E26" s="474" t="s">
        <v>987</v>
      </c>
      <c r="G26" s="474" t="s">
        <v>1460</v>
      </c>
      <c r="H26" s="821" t="s">
        <v>1197</v>
      </c>
      <c r="I26" s="529" t="s">
        <v>1139</v>
      </c>
      <c r="J26" s="444">
        <v>3845266</v>
      </c>
      <c r="K26" s="421">
        <v>65</v>
      </c>
      <c r="L26" s="410" t="str">
        <f t="shared" si="0"/>
        <v>è</v>
      </c>
      <c r="M26" s="410" t="s">
        <v>793</v>
      </c>
      <c r="N26" s="443">
        <v>1024293</v>
      </c>
      <c r="O26" s="443">
        <f t="shared" si="1"/>
        <v>2820973</v>
      </c>
      <c r="P26" s="443">
        <f t="shared" si="2"/>
        <v>564194.6</v>
      </c>
      <c r="Q26" s="411">
        <f t="shared" si="3"/>
        <v>4409460.6</v>
      </c>
      <c r="R26" s="444">
        <f t="shared" si="4"/>
        <v>2499422.9</v>
      </c>
      <c r="S26" s="443">
        <f t="shared" si="5"/>
        <v>366726.49</v>
      </c>
      <c r="T26" s="444">
        <f t="shared" si="6"/>
        <v>2500000</v>
      </c>
      <c r="U26" s="411">
        <f t="shared" si="12"/>
        <v>1250000</v>
      </c>
      <c r="V26" s="411">
        <f t="shared" si="13"/>
        <v>875000</v>
      </c>
      <c r="W26" s="443">
        <f t="shared" si="14"/>
        <v>2125000</v>
      </c>
      <c r="X26" s="444">
        <f t="shared" si="7"/>
        <v>375000</v>
      </c>
      <c r="Y26" s="411">
        <f t="shared" si="8"/>
        <v>1345843.1</v>
      </c>
      <c r="Z26" s="411">
        <f t="shared" si="9"/>
        <v>1909460.5999999996</v>
      </c>
      <c r="AA26" s="437" t="s">
        <v>794</v>
      </c>
      <c r="AB26" s="439" t="s">
        <v>895</v>
      </c>
      <c r="AC26" s="439" t="s">
        <v>906</v>
      </c>
      <c r="AD26" s="421" t="s">
        <v>797</v>
      </c>
      <c r="AE26" s="421" t="s">
        <v>1018</v>
      </c>
      <c r="AF26" s="421" t="s">
        <v>1019</v>
      </c>
      <c r="AG26" s="421">
        <v>33</v>
      </c>
      <c r="AH26" s="421">
        <v>70122</v>
      </c>
      <c r="AI26" s="439" t="s">
        <v>586</v>
      </c>
      <c r="AJ26" s="440" t="s">
        <v>125</v>
      </c>
      <c r="AK26" s="421">
        <v>51</v>
      </c>
      <c r="AL26" s="421">
        <v>331</v>
      </c>
      <c r="AM26" s="445">
        <v>38205</v>
      </c>
      <c r="AN26" s="445">
        <v>38246</v>
      </c>
      <c r="AO26" s="406" t="s">
        <v>178</v>
      </c>
      <c r="AP26" s="406">
        <v>1804</v>
      </c>
      <c r="AQ26" s="421">
        <v>37</v>
      </c>
      <c r="AR26" s="421">
        <v>32</v>
      </c>
      <c r="AS26" s="679" t="s">
        <v>183</v>
      </c>
      <c r="AT26" s="679" t="s">
        <v>183</v>
      </c>
      <c r="AU26" s="472" t="s">
        <v>295</v>
      </c>
      <c r="AV26" s="473">
        <v>38322</v>
      </c>
      <c r="AW26" s="473">
        <v>38320</v>
      </c>
      <c r="AX26" s="1082">
        <v>38320</v>
      </c>
      <c r="AY26" s="474" t="s">
        <v>1133</v>
      </c>
      <c r="AZ26" s="474" t="s">
        <v>1135</v>
      </c>
      <c r="BA26" s="474" t="s">
        <v>1136</v>
      </c>
      <c r="BB26" s="474" t="s">
        <v>126</v>
      </c>
      <c r="BC26" s="439" t="s">
        <v>1137</v>
      </c>
      <c r="BD26" s="474" t="s">
        <v>1138</v>
      </c>
      <c r="BE26" s="474" t="s">
        <v>585</v>
      </c>
      <c r="BF26" s="536" t="s">
        <v>576</v>
      </c>
      <c r="BG26" s="473">
        <v>38700</v>
      </c>
      <c r="BH26" s="474" t="s">
        <v>577</v>
      </c>
      <c r="BI26" s="411">
        <f t="shared" si="15"/>
        <v>750000</v>
      </c>
      <c r="BJ26" s="411">
        <f t="shared" si="16"/>
        <v>637500</v>
      </c>
      <c r="BK26" s="479" t="s">
        <v>1104</v>
      </c>
      <c r="BL26" s="411">
        <f t="shared" si="10"/>
        <v>112500</v>
      </c>
      <c r="BM26" s="479" t="s">
        <v>1104</v>
      </c>
      <c r="BN26" s="411">
        <f>BI26*0.35</f>
        <v>262500</v>
      </c>
      <c r="BO26" s="411"/>
      <c r="BP26" s="411"/>
      <c r="BQ26" s="540">
        <v>701</v>
      </c>
      <c r="BR26" s="445">
        <v>38338</v>
      </c>
      <c r="BS26" s="421" t="s">
        <v>154</v>
      </c>
      <c r="BT26" s="539">
        <v>5718</v>
      </c>
      <c r="BU26" s="726" t="s">
        <v>1171</v>
      </c>
      <c r="BV26" s="416">
        <v>38342</v>
      </c>
      <c r="BW26" s="430">
        <f>637500+112500</f>
        <v>750000</v>
      </c>
      <c r="BX26" s="878">
        <f>637500+112500</f>
        <v>750000</v>
      </c>
      <c r="BY26" s="870"/>
      <c r="BZ26" s="870"/>
      <c r="CA26" s="870"/>
      <c r="CB26" s="870"/>
      <c r="CC26" s="870"/>
      <c r="CD26" s="870"/>
      <c r="CE26" s="870"/>
      <c r="CF26" s="870"/>
      <c r="CG26" s="870"/>
      <c r="CH26" s="870"/>
      <c r="CI26" s="870"/>
      <c r="CJ26" s="870"/>
      <c r="CK26" s="870"/>
      <c r="CL26" s="870"/>
      <c r="CM26" s="870"/>
      <c r="CN26" s="870"/>
      <c r="CO26" s="870"/>
      <c r="CP26" s="870"/>
      <c r="CQ26" s="870"/>
      <c r="CR26" s="870"/>
      <c r="CS26" s="870"/>
      <c r="CT26" s="870"/>
      <c r="CU26" s="870"/>
      <c r="CV26" s="870"/>
      <c r="CW26" s="870"/>
      <c r="CX26" s="870"/>
      <c r="CY26" s="870"/>
      <c r="CZ26" s="870"/>
      <c r="DA26" s="870"/>
      <c r="DB26" s="870"/>
      <c r="DC26" s="870"/>
      <c r="DD26" s="870"/>
      <c r="DE26" s="870"/>
      <c r="DF26" s="870"/>
      <c r="DG26" s="870"/>
      <c r="DH26" s="870"/>
      <c r="DI26" s="870"/>
      <c r="DJ26" s="870"/>
      <c r="DK26" s="870"/>
      <c r="DL26" s="870"/>
      <c r="DM26" s="870"/>
      <c r="DN26" s="870"/>
      <c r="DO26" s="870"/>
      <c r="DP26" s="870"/>
      <c r="DQ26" s="870"/>
      <c r="DR26" s="870"/>
      <c r="DS26" s="870"/>
      <c r="DT26" s="870"/>
      <c r="DU26" s="870"/>
      <c r="DV26" s="870"/>
      <c r="DW26" s="870"/>
      <c r="DX26" s="870"/>
      <c r="DY26" s="870"/>
      <c r="DZ26" s="870"/>
      <c r="EA26" s="870"/>
      <c r="EB26" s="870"/>
      <c r="EC26" s="870"/>
      <c r="ED26" s="870"/>
      <c r="EE26" s="870"/>
      <c r="EF26" s="870"/>
      <c r="EG26" s="870"/>
      <c r="EH26" s="870"/>
      <c r="EI26" s="870"/>
      <c r="EJ26" s="870"/>
      <c r="EK26" s="870"/>
      <c r="EL26" s="870"/>
      <c r="EM26" s="870"/>
      <c r="EN26" s="870"/>
      <c r="EO26" s="870"/>
      <c r="EP26" s="870"/>
      <c r="EQ26" s="870"/>
      <c r="ER26" s="870"/>
      <c r="ES26" s="870"/>
      <c r="ET26" s="870"/>
      <c r="EU26" s="870"/>
      <c r="EV26" s="870"/>
      <c r="EW26" s="870"/>
      <c r="EX26" s="870"/>
      <c r="EY26" s="894">
        <f>2500000*1.53846153846154</f>
        <v>3846153.8461538465</v>
      </c>
      <c r="EZ26" s="894">
        <f>+DATI!EL26</f>
        <v>0</v>
      </c>
      <c r="FA26" s="894">
        <f>+EY26+EZ26</f>
        <v>3846153.8461538465</v>
      </c>
      <c r="FB26" s="1089">
        <f>+DATI!BY26+DATI!CL26+DATI!CY26+DATI!DL26+DATI!DY26</f>
        <v>2733099.12</v>
      </c>
      <c r="FC26" s="894">
        <f>+FA26-FB26</f>
        <v>1113054.7261538464</v>
      </c>
      <c r="FD26" s="895">
        <f t="shared" si="20"/>
        <v>0.7106057712</v>
      </c>
      <c r="FE26" s="897">
        <f t="shared" si="21"/>
        <v>2500000</v>
      </c>
      <c r="FF26" s="897">
        <v>723485.58</v>
      </c>
      <c r="FG26" s="1097">
        <v>339</v>
      </c>
      <c r="FH26" s="1098">
        <v>39967</v>
      </c>
      <c r="FI26" s="897">
        <f>+FE26</f>
        <v>2500000</v>
      </c>
      <c r="FJ26" s="897">
        <f t="shared" si="24"/>
        <v>750000</v>
      </c>
      <c r="FK26" s="897">
        <f>+CA26+DATI!GN26+DATI!FN26+DATI!FA26+DATI!EA26+DATI!DN26+DATI!DA26+DATI!CN26+DATI!CA26+CN26+DA26+DN26+EA26</f>
        <v>1026514.4240625001</v>
      </c>
      <c r="FL26" s="1221">
        <f>+EX26+EK26+DX26+DK26+CX26+CK26+DATI!GX26+DATI!GK26+DATI!FX26+DATI!FK26+DATI!EX26+DATI!EK26+DATI!DX26+DATI!DK26+DATI!CX26+DATI!CK26</f>
        <v>910715.5565625001</v>
      </c>
      <c r="FM26" s="877">
        <f t="shared" si="18"/>
        <v>1776514.4240625002</v>
      </c>
      <c r="FN26" s="877">
        <f>+BZ26+DATI!GM26+DATI!FZ26+DATI!FM26+DATI!EZ26+DATI!DZ26+DATI!DM26+DATI!CZ26+DATI!CM26+DATI!BZ26</f>
        <v>1776514.4280000003</v>
      </c>
      <c r="FO26" s="877">
        <f>+FE26-FM26-FF26</f>
        <v>-0.0040625002002343535</v>
      </c>
      <c r="FP26" s="896">
        <f>+FN26/FE26</f>
        <v>0.7106057712000001</v>
      </c>
      <c r="FQ26" s="899"/>
      <c r="FR26" s="568">
        <v>38141</v>
      </c>
      <c r="FS26" s="571">
        <f>36+6+9.95+1.35</f>
        <v>53.300000000000004</v>
      </c>
      <c r="FT26" s="697">
        <f t="shared" si="23"/>
        <v>4.441666666666667</v>
      </c>
      <c r="FU26" s="441">
        <f t="shared" si="19"/>
        <v>39762.208333333336</v>
      </c>
      <c r="FV26" s="1096" t="s">
        <v>434</v>
      </c>
      <c r="FW26" s="1161">
        <v>339</v>
      </c>
      <c r="FX26" s="1162">
        <v>39967</v>
      </c>
      <c r="FY26" s="974">
        <v>2733099.11</v>
      </c>
      <c r="FZ26" s="974">
        <v>1776514.42</v>
      </c>
      <c r="GA26" s="974">
        <v>96548.34</v>
      </c>
      <c r="GB26" s="974" t="s">
        <v>363</v>
      </c>
      <c r="GC26" s="974"/>
      <c r="GD26" s="974"/>
    </row>
    <row r="27" spans="1:182" s="666" customFormat="1" ht="13.5" customHeight="1">
      <c r="A27" s="658"/>
      <c r="B27" s="658"/>
      <c r="C27" s="616"/>
      <c r="D27" s="658" t="s">
        <v>479</v>
      </c>
      <c r="E27" s="618"/>
      <c r="F27" s="618"/>
      <c r="G27" s="618"/>
      <c r="H27" s="823"/>
      <c r="I27" s="659"/>
      <c r="J27" s="660">
        <f>SUM(J3:J26)</f>
        <v>41630388.91</v>
      </c>
      <c r="K27" s="616"/>
      <c r="L27" s="616"/>
      <c r="M27" s="616"/>
      <c r="N27" s="661">
        <f>SUM(N3:N26)</f>
        <v>14742251</v>
      </c>
      <c r="O27" s="661">
        <f aca="true" t="shared" si="25" ref="O27:Z27">SUM(O3:O26)</f>
        <v>26888137.91</v>
      </c>
      <c r="P27" s="661">
        <f t="shared" si="25"/>
        <v>5377627.582</v>
      </c>
      <c r="Q27" s="660">
        <f t="shared" si="25"/>
        <v>47008016.492000006</v>
      </c>
      <c r="R27" s="660">
        <f t="shared" si="25"/>
        <v>26601923.6665</v>
      </c>
      <c r="S27" s="661">
        <f t="shared" si="25"/>
        <v>3438870.9533</v>
      </c>
      <c r="T27" s="660">
        <f t="shared" si="25"/>
        <v>28988439.09</v>
      </c>
      <c r="U27" s="660">
        <f t="shared" si="25"/>
        <v>14494219.545</v>
      </c>
      <c r="V27" s="660">
        <f t="shared" si="25"/>
        <v>10145953.6815</v>
      </c>
      <c r="W27" s="661">
        <f t="shared" si="25"/>
        <v>24640173.2265</v>
      </c>
      <c r="X27" s="660">
        <f>SUM(X3:X26)</f>
        <v>4348265.863500001</v>
      </c>
      <c r="Y27" s="660"/>
      <c r="Z27" s="660">
        <f t="shared" si="25"/>
        <v>18019577.402</v>
      </c>
      <c r="AA27" s="662"/>
      <c r="AB27" s="616"/>
      <c r="AC27" s="616"/>
      <c r="AD27" s="616"/>
      <c r="AE27" s="616"/>
      <c r="AF27" s="663"/>
      <c r="AG27" s="616"/>
      <c r="AH27" s="616"/>
      <c r="AI27" s="616"/>
      <c r="AJ27" s="664"/>
      <c r="AK27" s="616"/>
      <c r="AL27" s="616"/>
      <c r="AM27" s="662"/>
      <c r="AN27" s="662"/>
      <c r="AO27" s="658"/>
      <c r="AP27" s="658"/>
      <c r="AQ27" s="616"/>
      <c r="AR27" s="616"/>
      <c r="AS27" s="663"/>
      <c r="AT27" s="663"/>
      <c r="AU27" s="665"/>
      <c r="AV27" s="829"/>
      <c r="AW27" s="829"/>
      <c r="AX27" s="831"/>
      <c r="AY27" s="667"/>
      <c r="AZ27" s="667"/>
      <c r="BA27" s="667"/>
      <c r="BB27" s="667"/>
      <c r="BC27" s="668"/>
      <c r="BD27" s="667"/>
      <c r="BE27" s="667"/>
      <c r="BF27" s="667"/>
      <c r="BG27" s="829"/>
      <c r="BH27" s="667"/>
      <c r="BI27" s="660"/>
      <c r="BJ27" s="660"/>
      <c r="BK27" s="669"/>
      <c r="BL27" s="660"/>
      <c r="BM27" s="669"/>
      <c r="BN27" s="660"/>
      <c r="BO27" s="660"/>
      <c r="BP27" s="660"/>
      <c r="BQ27" s="670"/>
      <c r="BR27" s="834"/>
      <c r="BS27" s="668"/>
      <c r="BT27" s="671"/>
      <c r="BU27" s="839"/>
      <c r="BV27" s="672"/>
      <c r="BW27" s="705"/>
      <c r="BX27" s="879">
        <f>SUM(BX3:BX26)</f>
        <v>8593876.96</v>
      </c>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f>SUM(EY3:EY26)</f>
        <v>46444709.73815385</v>
      </c>
      <c r="EZ27" s="874">
        <f>SUM(EZ3:EZ26)</f>
        <v>2590439.045571795</v>
      </c>
      <c r="FA27" s="874">
        <f>SUM(FA3:FA26)</f>
        <v>43665965.43612051</v>
      </c>
      <c r="FB27" s="874">
        <f>SUM(FB3:FB26)</f>
        <v>39358740.47348186</v>
      </c>
      <c r="FC27" s="879">
        <f>SUM(FC3:FC26)</f>
        <v>4743730.411638653</v>
      </c>
      <c r="FD27" s="903">
        <f t="shared" si="20"/>
        <v>0.8474321552525294</v>
      </c>
      <c r="FE27" s="874">
        <f aca="true" t="shared" si="26" ref="FE27:FO27">SUM(FE3:FE26)</f>
        <v>28988439.09</v>
      </c>
      <c r="FF27" s="879">
        <f t="shared" si="26"/>
        <v>1893185.0789541667</v>
      </c>
      <c r="FG27" s="874"/>
      <c r="FH27" s="874"/>
      <c r="FI27" s="874">
        <f t="shared" si="26"/>
        <v>27710666.425483335</v>
      </c>
      <c r="FJ27" s="874">
        <f t="shared" si="26"/>
        <v>8593876.96</v>
      </c>
      <c r="FK27" s="874">
        <f t="shared" si="26"/>
        <v>16609645.171611266</v>
      </c>
      <c r="FL27" s="874">
        <f t="shared" si="26"/>
        <v>15336518.05188739</v>
      </c>
      <c r="FM27" s="874">
        <f t="shared" si="26"/>
        <v>25203522.13161127</v>
      </c>
      <c r="FN27" s="874">
        <f t="shared" si="26"/>
        <v>25197696.4607182</v>
      </c>
      <c r="FO27" s="874">
        <f t="shared" si="26"/>
        <v>2198702.3338720673</v>
      </c>
      <c r="FP27" s="904">
        <f>+FN27/FE27</f>
        <v>0.8692326062292373</v>
      </c>
      <c r="FQ27" s="900"/>
      <c r="FR27" s="849"/>
      <c r="FS27" s="670"/>
      <c r="FT27" s="698"/>
      <c r="FU27" s="698"/>
      <c r="FV27" s="1074"/>
      <c r="FY27" s="509">
        <f>SUM(FY3:FY26)</f>
        <v>36172851.484541014</v>
      </c>
      <c r="FZ27" s="509">
        <f>SUM(FZ3:FZ26)</f>
        <v>23145296.569656655</v>
      </c>
    </row>
    <row r="28" spans="4:68" ht="11.25">
      <c r="D28" s="155" t="s">
        <v>431</v>
      </c>
      <c r="I28" s="528"/>
      <c r="J28" s="431"/>
      <c r="K28" s="405"/>
      <c r="L28" s="405"/>
      <c r="M28" s="405"/>
      <c r="N28" s="430"/>
      <c r="O28" s="430"/>
      <c r="P28" s="430"/>
      <c r="Q28" s="431"/>
      <c r="R28" s="431">
        <f>+R23*0.3</f>
        <v>97247.86499999999</v>
      </c>
      <c r="S28" s="430"/>
      <c r="T28" s="431"/>
      <c r="U28" s="431"/>
      <c r="V28" s="431"/>
      <c r="W28" s="430"/>
      <c r="X28" s="431"/>
      <c r="Y28" s="431"/>
      <c r="Z28" s="431"/>
      <c r="AA28" s="416"/>
      <c r="AB28" s="405"/>
      <c r="AC28" s="405"/>
      <c r="AD28" s="405"/>
      <c r="AE28" s="405"/>
      <c r="AF28" s="291"/>
      <c r="AG28" s="405"/>
      <c r="AH28" s="405"/>
      <c r="AI28" s="405"/>
      <c r="AJ28" s="447"/>
      <c r="AK28" s="405"/>
      <c r="AL28" s="405"/>
      <c r="AM28" s="416"/>
      <c r="AN28" s="416"/>
      <c r="AQ28" s="405"/>
      <c r="AR28" s="405"/>
      <c r="AS28" s="291"/>
      <c r="AT28" s="291"/>
      <c r="BI28" s="431"/>
      <c r="BJ28" s="431"/>
      <c r="BK28" s="450"/>
      <c r="BL28" s="431"/>
      <c r="BM28" s="450"/>
      <c r="BN28" s="431"/>
      <c r="BO28" s="431"/>
      <c r="BP28" s="431"/>
    </row>
    <row r="29" spans="1:178" s="462" customFormat="1" ht="22.5">
      <c r="A29" s="451"/>
      <c r="B29" s="452" t="e">
        <f>IF(#REF!&gt;0,"si","no")</f>
        <v>#REF!</v>
      </c>
      <c r="C29" s="452">
        <v>21</v>
      </c>
      <c r="D29" s="523" t="s">
        <v>40</v>
      </c>
      <c r="E29" s="523" t="s">
        <v>839</v>
      </c>
      <c r="F29" s="523"/>
      <c r="G29" s="523"/>
      <c r="H29" s="824"/>
      <c r="I29" s="530"/>
      <c r="J29" s="411">
        <v>600000</v>
      </c>
      <c r="K29" s="453">
        <v>65</v>
      </c>
      <c r="L29" s="453" t="str">
        <f>IF(K29&gt;51,"è","non è")</f>
        <v>è</v>
      </c>
      <c r="M29" s="453" t="s">
        <v>793</v>
      </c>
      <c r="N29" s="411">
        <v>0</v>
      </c>
      <c r="O29" s="411">
        <f>+J29-N29</f>
        <v>600000</v>
      </c>
      <c r="P29" s="411">
        <f>+O29*0.2</f>
        <v>120000</v>
      </c>
      <c r="Q29" s="411">
        <f>J29+P29</f>
        <v>720000</v>
      </c>
      <c r="R29" s="411">
        <f>IF(J29*K29/100&gt;2500000,2500000,J29*K29/100)</f>
        <v>390000</v>
      </c>
      <c r="S29" s="411">
        <f>+P29*K29/100</f>
        <v>78000</v>
      </c>
      <c r="T29" s="411">
        <f>IF(R29+S29&gt;2500000,2500000,R29+S29)</f>
        <v>468000</v>
      </c>
      <c r="U29" s="411">
        <f>T29*0.5</f>
        <v>234000</v>
      </c>
      <c r="V29" s="411">
        <f>T29*0.35</f>
        <v>163800</v>
      </c>
      <c r="W29" s="411">
        <f>+T29*0.85</f>
        <v>397800</v>
      </c>
      <c r="X29" s="411">
        <f>+T29*0.15</f>
        <v>70200</v>
      </c>
      <c r="Y29" s="411">
        <f>J29-R29</f>
        <v>210000</v>
      </c>
      <c r="Z29" s="411">
        <f>Q29-T29</f>
        <v>252000</v>
      </c>
      <c r="AA29" s="454" t="s">
        <v>794</v>
      </c>
      <c r="AB29" s="455" t="s">
        <v>836</v>
      </c>
      <c r="AC29" s="456" t="s">
        <v>840</v>
      </c>
      <c r="AD29" s="451" t="s">
        <v>903</v>
      </c>
      <c r="AE29" s="451" t="s">
        <v>904</v>
      </c>
      <c r="AF29" s="457" t="s">
        <v>38</v>
      </c>
      <c r="AG29" s="451">
        <v>17</v>
      </c>
      <c r="AH29" s="451">
        <v>71100</v>
      </c>
      <c r="AI29" s="455" t="s">
        <v>44</v>
      </c>
      <c r="AJ29" s="458" t="s">
        <v>805</v>
      </c>
      <c r="AK29" s="452">
        <v>78</v>
      </c>
      <c r="AL29" s="452"/>
      <c r="AM29" s="459"/>
      <c r="AN29" s="452"/>
      <c r="AO29" s="452"/>
      <c r="AP29" s="452"/>
      <c r="AQ29" s="452"/>
      <c r="AR29" s="452"/>
      <c r="AS29" s="460"/>
      <c r="AT29" s="460"/>
      <c r="AU29" s="461"/>
      <c r="AV29" s="830"/>
      <c r="AW29" s="830"/>
      <c r="AX29" s="832"/>
      <c r="AY29" s="534"/>
      <c r="AZ29" s="534"/>
      <c r="BA29" s="534"/>
      <c r="BB29" s="534"/>
      <c r="BC29" s="480"/>
      <c r="BD29" s="534"/>
      <c r="BE29" s="534"/>
      <c r="BF29" s="534"/>
      <c r="BG29" s="833"/>
      <c r="BH29" s="534"/>
      <c r="BI29" s="411">
        <f>T29*0.3</f>
        <v>140400</v>
      </c>
      <c r="BJ29" s="411">
        <f>W29*0.3</f>
        <v>119340</v>
      </c>
      <c r="BK29" s="419"/>
      <c r="BL29" s="411">
        <f>X29*0.3</f>
        <v>21060</v>
      </c>
      <c r="BM29" s="419"/>
      <c r="BN29" s="411"/>
      <c r="BO29" s="411"/>
      <c r="BP29" s="411"/>
      <c r="BQ29" s="488"/>
      <c r="BR29" s="835"/>
      <c r="BS29" s="489"/>
      <c r="BT29" s="498"/>
      <c r="BU29" s="841"/>
      <c r="BV29" s="505"/>
      <c r="BW29" s="703"/>
      <c r="BX29" s="881"/>
      <c r="BY29" s="876"/>
      <c r="BZ29" s="876"/>
      <c r="CA29" s="876"/>
      <c r="CB29" s="876"/>
      <c r="CC29" s="876"/>
      <c r="CD29" s="876"/>
      <c r="CE29" s="876"/>
      <c r="CF29" s="876"/>
      <c r="CG29" s="876"/>
      <c r="CH29" s="876"/>
      <c r="CI29" s="876"/>
      <c r="CJ29" s="876"/>
      <c r="CK29" s="876"/>
      <c r="CL29" s="876"/>
      <c r="CM29" s="876"/>
      <c r="CN29" s="876"/>
      <c r="CO29" s="876"/>
      <c r="CP29" s="876"/>
      <c r="CQ29" s="876"/>
      <c r="CR29" s="876"/>
      <c r="CS29" s="876"/>
      <c r="CT29" s="876"/>
      <c r="CU29" s="876"/>
      <c r="CV29" s="876"/>
      <c r="CW29" s="876"/>
      <c r="CX29" s="876"/>
      <c r="CY29" s="876"/>
      <c r="CZ29" s="876"/>
      <c r="DA29" s="876"/>
      <c r="DB29" s="876"/>
      <c r="DC29" s="876"/>
      <c r="DD29" s="876"/>
      <c r="DE29" s="876"/>
      <c r="DF29" s="876"/>
      <c r="DG29" s="876"/>
      <c r="DH29" s="876"/>
      <c r="DI29" s="876"/>
      <c r="DJ29" s="876"/>
      <c r="DK29" s="876"/>
      <c r="DL29" s="876"/>
      <c r="DM29" s="876"/>
      <c r="DN29" s="876"/>
      <c r="DO29" s="876"/>
      <c r="DP29" s="876"/>
      <c r="DQ29" s="876"/>
      <c r="DR29" s="876"/>
      <c r="DS29" s="876"/>
      <c r="DT29" s="876"/>
      <c r="DU29" s="876"/>
      <c r="DV29" s="876"/>
      <c r="DW29" s="876"/>
      <c r="DX29" s="876"/>
      <c r="DY29" s="876"/>
      <c r="DZ29" s="876"/>
      <c r="EA29" s="876"/>
      <c r="EB29" s="876"/>
      <c r="EC29" s="876"/>
      <c r="ED29" s="876"/>
      <c r="EE29" s="876"/>
      <c r="EF29" s="876"/>
      <c r="EG29" s="876"/>
      <c r="EH29" s="876"/>
      <c r="EI29" s="876"/>
      <c r="EJ29" s="876"/>
      <c r="EK29" s="876"/>
      <c r="EL29" s="876"/>
      <c r="EM29" s="876"/>
      <c r="EN29" s="876"/>
      <c r="EO29" s="876"/>
      <c r="EP29" s="876"/>
      <c r="EQ29" s="876"/>
      <c r="ER29" s="876"/>
      <c r="ES29" s="876"/>
      <c r="ET29" s="876"/>
      <c r="EU29" s="876"/>
      <c r="EV29" s="876"/>
      <c r="EW29" s="876"/>
      <c r="EX29" s="876"/>
      <c r="EY29" s="876"/>
      <c r="EZ29" s="876"/>
      <c r="FA29" s="876"/>
      <c r="FB29" s="876"/>
      <c r="FC29" s="876"/>
      <c r="FD29" s="876"/>
      <c r="FE29" s="876"/>
      <c r="FF29" s="876"/>
      <c r="FG29" s="876"/>
      <c r="FH29" s="876"/>
      <c r="FI29" s="876"/>
      <c r="FJ29" s="876"/>
      <c r="FK29" s="876"/>
      <c r="FL29" s="876"/>
      <c r="FM29" s="883"/>
      <c r="FN29" s="883"/>
      <c r="FO29" s="883"/>
      <c r="FP29" s="883"/>
      <c r="FQ29" s="901"/>
      <c r="FR29" s="851"/>
      <c r="FS29" s="852"/>
      <c r="FT29" s="699"/>
      <c r="FU29" s="699"/>
      <c r="FV29" s="1076"/>
    </row>
    <row r="30" spans="1:178" s="462" customFormat="1" ht="11.25">
      <c r="A30" s="451"/>
      <c r="B30" s="452" t="e">
        <f>IF(#REF!&gt;0,"si","no")</f>
        <v>#REF!</v>
      </c>
      <c r="C30" s="451">
        <v>19</v>
      </c>
      <c r="D30" s="524" t="s">
        <v>39</v>
      </c>
      <c r="E30" s="524" t="s">
        <v>897</v>
      </c>
      <c r="F30" s="524"/>
      <c r="G30" s="524"/>
      <c r="H30" s="825"/>
      <c r="I30" s="531"/>
      <c r="J30" s="444">
        <v>1657890</v>
      </c>
      <c r="K30" s="451">
        <v>65</v>
      </c>
      <c r="L30" s="453" t="str">
        <f>IF(K30&gt;51,"è","non è")</f>
        <v>è</v>
      </c>
      <c r="M30" s="453" t="s">
        <v>793</v>
      </c>
      <c r="N30" s="444"/>
      <c r="O30" s="444">
        <f>+J30-N30</f>
        <v>1657890</v>
      </c>
      <c r="P30" s="444">
        <f>+O30*0.2</f>
        <v>331578</v>
      </c>
      <c r="Q30" s="411">
        <f>J30+P30</f>
        <v>1989468</v>
      </c>
      <c r="R30" s="444">
        <f>IF(J30*K30/100&gt;2500000,2500000,J30*K30/100)</f>
        <v>1077628.5</v>
      </c>
      <c r="S30" s="444">
        <f>+P30*K30/100</f>
        <v>215525.7</v>
      </c>
      <c r="T30" s="444">
        <f>IF(R30+S30&gt;2500000,2500000,R30+S30)</f>
        <v>1293154.2</v>
      </c>
      <c r="U30" s="411">
        <f>T30*0.5</f>
        <v>646577.1</v>
      </c>
      <c r="V30" s="411">
        <f>T30*0.35</f>
        <v>452603.97</v>
      </c>
      <c r="W30" s="444">
        <f>+T30*0.85</f>
        <v>1099181.0699999998</v>
      </c>
      <c r="X30" s="444">
        <f>+T30*0.15</f>
        <v>193973.12999999998</v>
      </c>
      <c r="Y30" s="411">
        <f>J30-R30</f>
        <v>580261.5</v>
      </c>
      <c r="Z30" s="411">
        <f>Q30-T30</f>
        <v>696313.8</v>
      </c>
      <c r="AA30" s="454" t="s">
        <v>794</v>
      </c>
      <c r="AB30" s="455" t="s">
        <v>895</v>
      </c>
      <c r="AC30" s="455" t="s">
        <v>898</v>
      </c>
      <c r="AD30" s="451" t="s">
        <v>903</v>
      </c>
      <c r="AE30" s="451" t="s">
        <v>904</v>
      </c>
      <c r="AF30" s="457" t="s">
        <v>41</v>
      </c>
      <c r="AG30" s="451">
        <v>42</v>
      </c>
      <c r="AH30" s="451">
        <v>71100</v>
      </c>
      <c r="AI30" s="455" t="s">
        <v>42</v>
      </c>
      <c r="AJ30" s="458" t="s">
        <v>805</v>
      </c>
      <c r="AK30" s="451">
        <v>56</v>
      </c>
      <c r="AL30" s="451"/>
      <c r="AM30" s="464"/>
      <c r="AN30" s="464"/>
      <c r="AO30" s="452"/>
      <c r="AP30" s="452"/>
      <c r="AQ30" s="451"/>
      <c r="AR30" s="451"/>
      <c r="AS30" s="457"/>
      <c r="AT30" s="457"/>
      <c r="AU30" s="461"/>
      <c r="AV30" s="830"/>
      <c r="AW30" s="830"/>
      <c r="AX30" s="832"/>
      <c r="AY30" s="534"/>
      <c r="AZ30" s="534"/>
      <c r="BA30" s="534"/>
      <c r="BB30" s="534"/>
      <c r="BC30" s="480"/>
      <c r="BD30" s="534"/>
      <c r="BE30" s="534"/>
      <c r="BF30" s="534"/>
      <c r="BG30" s="833"/>
      <c r="BH30" s="534"/>
      <c r="BI30" s="411">
        <f>T30*0.3</f>
        <v>387946.25999999995</v>
      </c>
      <c r="BJ30" s="411">
        <f>W30*0.3</f>
        <v>329754.32099999994</v>
      </c>
      <c r="BK30" s="419"/>
      <c r="BL30" s="411">
        <f>X30*0.3</f>
        <v>58191.93899999999</v>
      </c>
      <c r="BM30" s="419"/>
      <c r="BN30" s="411"/>
      <c r="BO30" s="411"/>
      <c r="BP30" s="411"/>
      <c r="BQ30" s="488"/>
      <c r="BR30" s="835"/>
      <c r="BS30" s="489"/>
      <c r="BT30" s="498"/>
      <c r="BU30" s="841"/>
      <c r="BV30" s="505"/>
      <c r="BW30" s="703"/>
      <c r="BX30" s="881"/>
      <c r="BY30" s="876"/>
      <c r="BZ30" s="876"/>
      <c r="CA30" s="876"/>
      <c r="CB30" s="876"/>
      <c r="CC30" s="876"/>
      <c r="CD30" s="876"/>
      <c r="CE30" s="876"/>
      <c r="CF30" s="876"/>
      <c r="CG30" s="876"/>
      <c r="CH30" s="876"/>
      <c r="CI30" s="876"/>
      <c r="CJ30" s="876"/>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6"/>
      <c r="DX30" s="876"/>
      <c r="DY30" s="876"/>
      <c r="DZ30" s="876"/>
      <c r="EA30" s="876"/>
      <c r="EB30" s="876"/>
      <c r="EC30" s="876"/>
      <c r="ED30" s="876"/>
      <c r="EE30" s="876"/>
      <c r="EF30" s="876"/>
      <c r="EG30" s="876"/>
      <c r="EH30" s="876"/>
      <c r="EI30" s="876"/>
      <c r="EJ30" s="876"/>
      <c r="EK30" s="876"/>
      <c r="EL30" s="876"/>
      <c r="EM30" s="876"/>
      <c r="EN30" s="876"/>
      <c r="EO30" s="876"/>
      <c r="EP30" s="876"/>
      <c r="EQ30" s="876"/>
      <c r="ER30" s="876"/>
      <c r="ES30" s="876"/>
      <c r="ET30" s="876"/>
      <c r="EU30" s="876"/>
      <c r="EV30" s="876"/>
      <c r="EW30" s="876"/>
      <c r="EX30" s="876"/>
      <c r="EY30" s="876"/>
      <c r="EZ30" s="876"/>
      <c r="FA30" s="876"/>
      <c r="FB30" s="876"/>
      <c r="FC30" s="876"/>
      <c r="FD30" s="876"/>
      <c r="FE30" s="876"/>
      <c r="FF30" s="876"/>
      <c r="FG30" s="876"/>
      <c r="FH30" s="876"/>
      <c r="FI30" s="876"/>
      <c r="FJ30" s="876"/>
      <c r="FK30" s="876"/>
      <c r="FL30" s="876"/>
      <c r="FM30" s="884"/>
      <c r="FN30" s="884"/>
      <c r="FO30" s="884"/>
      <c r="FP30" s="884"/>
      <c r="FQ30" s="902"/>
      <c r="FR30" s="851"/>
      <c r="FS30" s="852"/>
      <c r="FT30" s="699"/>
      <c r="FU30" s="699"/>
      <c r="FV30" s="1076"/>
    </row>
    <row r="31" spans="1:178" s="462" customFormat="1" ht="12.75" customHeight="1">
      <c r="A31" s="451"/>
      <c r="B31" s="452" t="e">
        <f>IF(#REF!&gt;0,"si","no")</f>
        <v>#REF!</v>
      </c>
      <c r="C31" s="451">
        <v>24</v>
      </c>
      <c r="D31" s="524" t="s">
        <v>905</v>
      </c>
      <c r="E31" s="524"/>
      <c r="F31" s="524"/>
      <c r="G31" s="524"/>
      <c r="H31" s="825"/>
      <c r="I31" s="531"/>
      <c r="J31" s="444">
        <v>1980000</v>
      </c>
      <c r="K31" s="451">
        <v>50</v>
      </c>
      <c r="L31" s="453" t="str">
        <f>IF(K31&gt;51,"è","non è")</f>
        <v>non è</v>
      </c>
      <c r="M31" s="453" t="s">
        <v>809</v>
      </c>
      <c r="N31" s="444">
        <v>1370000</v>
      </c>
      <c r="O31" s="444">
        <f>+J31-N31</f>
        <v>610000</v>
      </c>
      <c r="P31" s="444">
        <f>+O31*0.2</f>
        <v>122000</v>
      </c>
      <c r="Q31" s="411">
        <f>J31+P31</f>
        <v>2102000</v>
      </c>
      <c r="R31" s="444">
        <f>IF(J31*K31/100&gt;2500000,2500000,J31*K31/100)</f>
        <v>990000</v>
      </c>
      <c r="S31" s="444">
        <f>+P31*K31/100</f>
        <v>61000</v>
      </c>
      <c r="T31" s="444">
        <f>IF(R31+S31&gt;2500000,2500000,R31+S31)</f>
        <v>1051000</v>
      </c>
      <c r="U31" s="411">
        <f>T31*0.5</f>
        <v>525500</v>
      </c>
      <c r="V31" s="411">
        <f>T31*0.35</f>
        <v>367850</v>
      </c>
      <c r="W31" s="444">
        <f>+T31*0.85</f>
        <v>893350</v>
      </c>
      <c r="X31" s="444">
        <f>+T31*0.15</f>
        <v>157650</v>
      </c>
      <c r="Y31" s="411">
        <f>J31-R31</f>
        <v>990000</v>
      </c>
      <c r="Z31" s="411">
        <f>Q31-T31</f>
        <v>1051000</v>
      </c>
      <c r="AA31" s="454" t="s">
        <v>794</v>
      </c>
      <c r="AB31" s="455" t="s">
        <v>895</v>
      </c>
      <c r="AC31" s="455">
        <v>1705</v>
      </c>
      <c r="AD31" s="451" t="s">
        <v>805</v>
      </c>
      <c r="AE31" s="451" t="s">
        <v>805</v>
      </c>
      <c r="AF31" s="457" t="s">
        <v>805</v>
      </c>
      <c r="AG31" s="451" t="s">
        <v>805</v>
      </c>
      <c r="AH31" s="451" t="s">
        <v>805</v>
      </c>
      <c r="AI31" s="451" t="s">
        <v>805</v>
      </c>
      <c r="AJ31" s="458" t="s">
        <v>805</v>
      </c>
      <c r="AK31" s="451">
        <v>54</v>
      </c>
      <c r="AL31" s="451"/>
      <c r="AM31" s="464"/>
      <c r="AN31" s="464"/>
      <c r="AO31" s="452"/>
      <c r="AP31" s="452"/>
      <c r="AQ31" s="451"/>
      <c r="AR31" s="451"/>
      <c r="AS31" s="457"/>
      <c r="AT31" s="457"/>
      <c r="AU31" s="461"/>
      <c r="AV31" s="830"/>
      <c r="AW31" s="830"/>
      <c r="AX31" s="832"/>
      <c r="AY31" s="534"/>
      <c r="AZ31" s="534"/>
      <c r="BA31" s="534"/>
      <c r="BB31" s="534"/>
      <c r="BC31" s="480"/>
      <c r="BD31" s="534"/>
      <c r="BE31" s="534"/>
      <c r="BF31" s="534"/>
      <c r="BG31" s="833"/>
      <c r="BH31" s="534"/>
      <c r="BI31" s="411">
        <f>T31*0.3</f>
        <v>315300</v>
      </c>
      <c r="BJ31" s="411">
        <f>W31*0.3</f>
        <v>268005</v>
      </c>
      <c r="BK31" s="419"/>
      <c r="BL31" s="411">
        <f>X31*0.3</f>
        <v>47295</v>
      </c>
      <c r="BM31" s="419"/>
      <c r="BN31" s="411"/>
      <c r="BO31" s="411"/>
      <c r="BP31" s="411"/>
      <c r="BQ31" s="488"/>
      <c r="BR31" s="835"/>
      <c r="BS31" s="489"/>
      <c r="BT31" s="498"/>
      <c r="BU31" s="841"/>
      <c r="BV31" s="505"/>
      <c r="BW31" s="703"/>
      <c r="BX31" s="881"/>
      <c r="BY31" s="876"/>
      <c r="BZ31" s="876"/>
      <c r="CA31" s="876"/>
      <c r="CB31" s="876"/>
      <c r="CC31" s="876"/>
      <c r="CD31" s="876"/>
      <c r="CE31" s="876"/>
      <c r="CF31" s="876"/>
      <c r="CG31" s="876"/>
      <c r="CH31" s="876"/>
      <c r="CI31" s="876"/>
      <c r="CJ31" s="876"/>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6"/>
      <c r="DX31" s="876"/>
      <c r="DY31" s="876"/>
      <c r="DZ31" s="876"/>
      <c r="EA31" s="876"/>
      <c r="EB31" s="876"/>
      <c r="EC31" s="876"/>
      <c r="ED31" s="876"/>
      <c r="EE31" s="876"/>
      <c r="EF31" s="876"/>
      <c r="EG31" s="876"/>
      <c r="EH31" s="876"/>
      <c r="EI31" s="876"/>
      <c r="EJ31" s="876"/>
      <c r="EK31" s="876"/>
      <c r="EL31" s="876"/>
      <c r="EM31" s="876"/>
      <c r="EN31" s="876"/>
      <c r="EO31" s="876"/>
      <c r="EP31" s="876"/>
      <c r="EQ31" s="876"/>
      <c r="ER31" s="876"/>
      <c r="ES31" s="876"/>
      <c r="ET31" s="876"/>
      <c r="EU31" s="876"/>
      <c r="EV31" s="876"/>
      <c r="EW31" s="876"/>
      <c r="EX31" s="876"/>
      <c r="EY31" s="876"/>
      <c r="EZ31" s="876"/>
      <c r="FA31" s="876"/>
      <c r="FB31" s="876"/>
      <c r="FC31" s="876"/>
      <c r="FD31" s="876"/>
      <c r="FE31" s="876"/>
      <c r="FF31" s="876"/>
      <c r="FG31" s="876"/>
      <c r="FH31" s="876"/>
      <c r="FI31" s="876"/>
      <c r="FJ31" s="876"/>
      <c r="FK31" s="876"/>
      <c r="FL31" s="876"/>
      <c r="FM31" s="884"/>
      <c r="FN31" s="884"/>
      <c r="FO31" s="884"/>
      <c r="FP31" s="884"/>
      <c r="FQ31" s="902"/>
      <c r="FR31" s="851"/>
      <c r="FS31" s="852"/>
      <c r="FT31" s="699"/>
      <c r="FU31" s="699"/>
      <c r="FV31" s="1076"/>
    </row>
    <row r="32" spans="1:178" s="462" customFormat="1" ht="12.75" customHeight="1">
      <c r="A32" s="451"/>
      <c r="B32" s="452" t="e">
        <f>IF(#REF!&gt;0,"si","no")</f>
        <v>#REF!</v>
      </c>
      <c r="C32" s="451">
        <v>35</v>
      </c>
      <c r="D32" s="524" t="s">
        <v>917</v>
      </c>
      <c r="E32" s="524" t="s">
        <v>137</v>
      </c>
      <c r="F32" s="524"/>
      <c r="G32" s="524"/>
      <c r="H32" s="825"/>
      <c r="I32" s="531"/>
      <c r="J32" s="444">
        <v>4979497</v>
      </c>
      <c r="K32" s="451">
        <v>65</v>
      </c>
      <c r="L32" s="453" t="str">
        <f>IF(K32&gt;51,"è","non è")</f>
        <v>è</v>
      </c>
      <c r="M32" s="453" t="s">
        <v>793</v>
      </c>
      <c r="N32" s="444">
        <v>2484900</v>
      </c>
      <c r="O32" s="444">
        <f>+J32-N32</f>
        <v>2494597</v>
      </c>
      <c r="P32" s="444">
        <f>+O32*0.2</f>
        <v>498919.4</v>
      </c>
      <c r="Q32" s="411">
        <f>J32+P32</f>
        <v>5478416.4</v>
      </c>
      <c r="R32" s="444">
        <f>IF(J32*K32/100&gt;2500000,2500000,J32*K32/100)</f>
        <v>2500000</v>
      </c>
      <c r="S32" s="444">
        <f>+P32*K32/100</f>
        <v>324297.61</v>
      </c>
      <c r="T32" s="444">
        <f>IF(R32+S32&gt;2500000,2500000,R32+S32)</f>
        <v>2500000</v>
      </c>
      <c r="U32" s="411">
        <f>T32*0.5</f>
        <v>1250000</v>
      </c>
      <c r="V32" s="411">
        <f>T32*0.35</f>
        <v>875000</v>
      </c>
      <c r="W32" s="444">
        <f>+T32*0.85</f>
        <v>2125000</v>
      </c>
      <c r="X32" s="444">
        <f>+T32*0.15</f>
        <v>375000</v>
      </c>
      <c r="Y32" s="411">
        <f>J32-R32</f>
        <v>2479497</v>
      </c>
      <c r="Z32" s="411">
        <f>Q32-T32</f>
        <v>2978416.4000000004</v>
      </c>
      <c r="AA32" s="464" t="s">
        <v>805</v>
      </c>
      <c r="AB32" s="455" t="s">
        <v>895</v>
      </c>
      <c r="AC32" s="455" t="s">
        <v>918</v>
      </c>
      <c r="AD32" s="451" t="s">
        <v>805</v>
      </c>
      <c r="AE32" s="451" t="s">
        <v>805</v>
      </c>
      <c r="AF32" s="457" t="s">
        <v>805</v>
      </c>
      <c r="AG32" s="451" t="s">
        <v>805</v>
      </c>
      <c r="AH32" s="451" t="s">
        <v>805</v>
      </c>
      <c r="AI32" s="451" t="s">
        <v>805</v>
      </c>
      <c r="AJ32" s="458" t="s">
        <v>805</v>
      </c>
      <c r="AK32" s="451">
        <v>51</v>
      </c>
      <c r="AL32" s="451"/>
      <c r="AM32" s="464"/>
      <c r="AN32" s="464"/>
      <c r="AO32" s="452"/>
      <c r="AP32" s="452"/>
      <c r="AQ32" s="451"/>
      <c r="AR32" s="451"/>
      <c r="AS32" s="457"/>
      <c r="AT32" s="457"/>
      <c r="AU32" s="461"/>
      <c r="AV32" s="830"/>
      <c r="AW32" s="830"/>
      <c r="AX32" s="832"/>
      <c r="AY32" s="534"/>
      <c r="AZ32" s="534"/>
      <c r="BA32" s="534"/>
      <c r="BB32" s="534"/>
      <c r="BC32" s="480"/>
      <c r="BD32" s="534"/>
      <c r="BE32" s="534"/>
      <c r="BF32" s="534"/>
      <c r="BG32" s="833"/>
      <c r="BH32" s="534"/>
      <c r="BI32" s="411">
        <f>T32*0.3</f>
        <v>750000</v>
      </c>
      <c r="BJ32" s="411">
        <f>W32*0.3</f>
        <v>637500</v>
      </c>
      <c r="BK32" s="419"/>
      <c r="BL32" s="411">
        <f>X32*0.3</f>
        <v>112500</v>
      </c>
      <c r="BM32" s="419"/>
      <c r="BN32" s="411"/>
      <c r="BO32" s="411"/>
      <c r="BP32" s="411"/>
      <c r="BQ32" s="488"/>
      <c r="BR32" s="835"/>
      <c r="BS32" s="489"/>
      <c r="BT32" s="498"/>
      <c r="BU32" s="841"/>
      <c r="BV32" s="505"/>
      <c r="BW32" s="703"/>
      <c r="BX32" s="881"/>
      <c r="BY32" s="876"/>
      <c r="BZ32" s="876"/>
      <c r="CA32" s="876"/>
      <c r="CB32" s="876"/>
      <c r="CC32" s="876"/>
      <c r="CD32" s="876"/>
      <c r="CE32" s="876"/>
      <c r="CF32" s="876"/>
      <c r="CG32" s="876"/>
      <c r="CH32" s="876"/>
      <c r="CI32" s="876"/>
      <c r="CJ32" s="876"/>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6"/>
      <c r="DX32" s="876"/>
      <c r="DY32" s="876"/>
      <c r="DZ32" s="876"/>
      <c r="EA32" s="876"/>
      <c r="EB32" s="876"/>
      <c r="EC32" s="876"/>
      <c r="ED32" s="876"/>
      <c r="EE32" s="876"/>
      <c r="EF32" s="876"/>
      <c r="EG32" s="876"/>
      <c r="EH32" s="876"/>
      <c r="EI32" s="876"/>
      <c r="EJ32" s="876"/>
      <c r="EK32" s="876"/>
      <c r="EL32" s="876"/>
      <c r="EM32" s="876"/>
      <c r="EN32" s="876"/>
      <c r="EO32" s="876"/>
      <c r="EP32" s="876"/>
      <c r="EQ32" s="876"/>
      <c r="ER32" s="876"/>
      <c r="ES32" s="876"/>
      <c r="ET32" s="876"/>
      <c r="EU32" s="876"/>
      <c r="EV32" s="876"/>
      <c r="EW32" s="876"/>
      <c r="EX32" s="876"/>
      <c r="EY32" s="876"/>
      <c r="EZ32" s="876"/>
      <c r="FA32" s="876"/>
      <c r="FB32" s="876"/>
      <c r="FC32" s="876"/>
      <c r="FD32" s="876"/>
      <c r="FE32" s="876"/>
      <c r="FF32" s="876"/>
      <c r="FG32" s="876"/>
      <c r="FH32" s="876"/>
      <c r="FI32" s="876"/>
      <c r="FJ32" s="876"/>
      <c r="FK32" s="876"/>
      <c r="FL32" s="876"/>
      <c r="FM32" s="884"/>
      <c r="FN32" s="884"/>
      <c r="FO32" s="884"/>
      <c r="FP32" s="884"/>
      <c r="FQ32" s="902"/>
      <c r="FR32" s="851"/>
      <c r="FS32" s="852"/>
      <c r="FT32" s="699"/>
      <c r="FU32" s="699"/>
      <c r="FV32" s="1076"/>
    </row>
    <row r="33" spans="1:178" s="588" customFormat="1" ht="12" customHeight="1">
      <c r="A33" s="434"/>
      <c r="B33" s="452" t="e">
        <f>IF(#REF!&gt;0,"si","no")</f>
        <v>#REF!</v>
      </c>
      <c r="C33" s="451">
        <v>23</v>
      </c>
      <c r="D33" s="588" t="s">
        <v>843</v>
      </c>
      <c r="E33" s="588" t="s">
        <v>62</v>
      </c>
      <c r="F33" s="588" t="s">
        <v>480</v>
      </c>
      <c r="G33" s="588" t="s">
        <v>407</v>
      </c>
      <c r="H33" s="826" t="s">
        <v>1186</v>
      </c>
      <c r="I33" s="715" t="s">
        <v>1127</v>
      </c>
      <c r="J33" s="431">
        <v>421350</v>
      </c>
      <c r="K33" s="434">
        <v>65</v>
      </c>
      <c r="L33" s="453" t="str">
        <f>IF(K33&gt;51,"è","non è")</f>
        <v>è</v>
      </c>
      <c r="M33" s="453" t="s">
        <v>793</v>
      </c>
      <c r="N33" s="431">
        <v>133150</v>
      </c>
      <c r="O33" s="431">
        <f>+J33-N33</f>
        <v>288200</v>
      </c>
      <c r="P33" s="431">
        <f>+O33*0.2</f>
        <v>57640</v>
      </c>
      <c r="Q33" s="411">
        <f>J33+P33</f>
        <v>478990</v>
      </c>
      <c r="R33" s="431">
        <f>IF(J33*K33/100&gt;2500000,2500000,J33*K33/100)</f>
        <v>273877.5</v>
      </c>
      <c r="S33" s="431">
        <f>+P33*K33/100</f>
        <v>37466</v>
      </c>
      <c r="T33" s="431">
        <f>IF(R33+S33&gt;2500000,2500000,R33+S33)</f>
        <v>311343.5</v>
      </c>
      <c r="U33" s="411">
        <f>T33*0.5</f>
        <v>155671.75</v>
      </c>
      <c r="V33" s="411">
        <f>T33*0.35</f>
        <v>108970.22499999999</v>
      </c>
      <c r="W33" s="431">
        <f>+T33*0.85</f>
        <v>264641.975</v>
      </c>
      <c r="X33" s="431">
        <f>+T33*0.15</f>
        <v>46701.525</v>
      </c>
      <c r="Y33" s="411">
        <f>J33-R33</f>
        <v>147472.5</v>
      </c>
      <c r="Z33" s="411">
        <f>Q33-T33</f>
        <v>167646.5</v>
      </c>
      <c r="AA33" s="716" t="s">
        <v>844</v>
      </c>
      <c r="AB33" s="716" t="s">
        <v>795</v>
      </c>
      <c r="AC33" s="434">
        <v>398</v>
      </c>
      <c r="AD33" s="434" t="s">
        <v>845</v>
      </c>
      <c r="AE33" s="434" t="s">
        <v>798</v>
      </c>
      <c r="AF33" s="434" t="s">
        <v>63</v>
      </c>
      <c r="AG33" s="434">
        <v>40</v>
      </c>
      <c r="AH33" s="434">
        <v>70022</v>
      </c>
      <c r="AI33" s="717" t="s">
        <v>846</v>
      </c>
      <c r="AJ33" s="718" t="s">
        <v>35</v>
      </c>
      <c r="AK33" s="434">
        <v>77</v>
      </c>
      <c r="AL33" s="434">
        <v>250</v>
      </c>
      <c r="AM33" s="681">
        <v>38166</v>
      </c>
      <c r="AN33" s="681">
        <v>38191</v>
      </c>
      <c r="AO33" s="452" t="s">
        <v>7</v>
      </c>
      <c r="AP33" s="452">
        <v>1661</v>
      </c>
      <c r="AQ33" s="434">
        <v>23</v>
      </c>
      <c r="AR33" s="434">
        <v>19</v>
      </c>
      <c r="AS33" s="719" t="s">
        <v>171</v>
      </c>
      <c r="AT33" s="719" t="s">
        <v>171</v>
      </c>
      <c r="AU33" s="712" t="s">
        <v>295</v>
      </c>
      <c r="AV33" s="720">
        <v>38324</v>
      </c>
      <c r="AW33" s="720">
        <v>38294</v>
      </c>
      <c r="AX33" s="681">
        <v>38316</v>
      </c>
      <c r="AY33" s="588" t="s">
        <v>718</v>
      </c>
      <c r="AZ33" s="588" t="s">
        <v>719</v>
      </c>
      <c r="BA33" s="588" t="s">
        <v>720</v>
      </c>
      <c r="BB33" s="588" t="s">
        <v>721</v>
      </c>
      <c r="BC33" s="717" t="s">
        <v>722</v>
      </c>
      <c r="BD33" s="588" t="s">
        <v>723</v>
      </c>
      <c r="BF33" s="588" t="s">
        <v>213</v>
      </c>
      <c r="BG33" s="720">
        <v>38327</v>
      </c>
      <c r="BH33" s="588" t="s">
        <v>214</v>
      </c>
      <c r="BI33" s="411">
        <v>82163.25</v>
      </c>
      <c r="BJ33" s="411">
        <f>BI33*0.85</f>
        <v>69838.7625</v>
      </c>
      <c r="BK33" s="479" t="s">
        <v>1104</v>
      </c>
      <c r="BL33" s="411">
        <f>BI33*0.15</f>
        <v>12324.4875</v>
      </c>
      <c r="BM33" s="479" t="s">
        <v>1107</v>
      </c>
      <c r="BN33" s="411">
        <f>BI33*0.35</f>
        <v>28757.137499999997</v>
      </c>
      <c r="BO33" s="411">
        <f>+BN33*0.04</f>
        <v>1150.2855</v>
      </c>
      <c r="BP33" s="411">
        <f>+BL33*0.04</f>
        <v>492.9795</v>
      </c>
      <c r="BQ33" s="655">
        <v>706</v>
      </c>
      <c r="BR33" s="681">
        <v>38344</v>
      </c>
      <c r="BS33" s="434" t="s">
        <v>295</v>
      </c>
      <c r="BT33" s="655">
        <v>5870</v>
      </c>
      <c r="BU33" s="842" t="s">
        <v>1215</v>
      </c>
      <c r="BV33" s="681">
        <v>38372</v>
      </c>
      <c r="BW33" s="721">
        <f>69838.76+12324.49</f>
        <v>82163.25</v>
      </c>
      <c r="BX33" s="882">
        <f>69838.76+12324.49</f>
        <v>82163.25</v>
      </c>
      <c r="BY33" s="872"/>
      <c r="BZ33" s="872"/>
      <c r="CA33" s="872"/>
      <c r="CB33" s="872"/>
      <c r="CC33" s="872"/>
      <c r="CD33" s="872"/>
      <c r="CE33" s="872"/>
      <c r="CF33" s="872"/>
      <c r="CG33" s="872"/>
      <c r="CH33" s="872"/>
      <c r="CI33" s="872"/>
      <c r="CJ33" s="872"/>
      <c r="CK33" s="872"/>
      <c r="CL33" s="872"/>
      <c r="CM33" s="872"/>
      <c r="CN33" s="872"/>
      <c r="CO33" s="872"/>
      <c r="CP33" s="872"/>
      <c r="CQ33" s="872"/>
      <c r="CR33" s="872"/>
      <c r="CS33" s="872"/>
      <c r="CT33" s="872"/>
      <c r="CU33" s="872"/>
      <c r="CV33" s="872"/>
      <c r="CW33" s="872"/>
      <c r="CX33" s="872"/>
      <c r="CY33" s="872"/>
      <c r="CZ33" s="872"/>
      <c r="DA33" s="872"/>
      <c r="DB33" s="872"/>
      <c r="DC33" s="872"/>
      <c r="DD33" s="872"/>
      <c r="DE33" s="872"/>
      <c r="DF33" s="872"/>
      <c r="DG33" s="872"/>
      <c r="DH33" s="872"/>
      <c r="DI33" s="872"/>
      <c r="DJ33" s="872"/>
      <c r="DK33" s="872"/>
      <c r="DL33" s="872"/>
      <c r="DM33" s="872"/>
      <c r="DN33" s="872"/>
      <c r="DO33" s="872"/>
      <c r="DP33" s="872"/>
      <c r="DQ33" s="872"/>
      <c r="DR33" s="872"/>
      <c r="DS33" s="872"/>
      <c r="DT33" s="872"/>
      <c r="DU33" s="872"/>
      <c r="DV33" s="872"/>
      <c r="DW33" s="872"/>
      <c r="DX33" s="872"/>
      <c r="DY33" s="872"/>
      <c r="DZ33" s="872"/>
      <c r="EA33" s="872"/>
      <c r="EB33" s="872"/>
      <c r="EC33" s="872"/>
      <c r="ED33" s="872"/>
      <c r="EE33" s="872"/>
      <c r="EF33" s="872"/>
      <c r="EG33" s="872"/>
      <c r="EH33" s="872"/>
      <c r="EI33" s="872"/>
      <c r="EJ33" s="872"/>
      <c r="EK33" s="872"/>
      <c r="EL33" s="872"/>
      <c r="EM33" s="872"/>
      <c r="EN33" s="872"/>
      <c r="EO33" s="872"/>
      <c r="EP33" s="872"/>
      <c r="EQ33" s="872"/>
      <c r="ER33" s="872"/>
      <c r="ES33" s="872"/>
      <c r="ET33" s="872"/>
      <c r="EU33" s="872"/>
      <c r="EV33" s="872"/>
      <c r="EW33" s="872"/>
      <c r="EX33" s="872"/>
      <c r="EY33" s="872"/>
      <c r="EZ33" s="872"/>
      <c r="FA33" s="872"/>
      <c r="FB33" s="872"/>
      <c r="FC33" s="872"/>
      <c r="FD33" s="872"/>
      <c r="FE33" s="872"/>
      <c r="FF33" s="872"/>
      <c r="FG33" s="872"/>
      <c r="FH33" s="872"/>
      <c r="FI33" s="872"/>
      <c r="FJ33" s="872"/>
      <c r="FK33" s="872"/>
      <c r="FL33" s="872"/>
      <c r="FM33" s="878"/>
      <c r="FN33" s="878"/>
      <c r="FO33" s="878"/>
      <c r="FP33" s="878"/>
      <c r="FQ33" s="899"/>
      <c r="FR33" s="681">
        <v>37989</v>
      </c>
      <c r="FS33" s="655">
        <v>24</v>
      </c>
      <c r="FT33" s="723">
        <f>FS33/12</f>
        <v>2</v>
      </c>
      <c r="FU33" s="723"/>
      <c r="FV33" s="1077"/>
    </row>
    <row r="34" spans="9:68" ht="11.25">
      <c r="I34" s="528"/>
      <c r="J34" s="431"/>
      <c r="K34" s="405"/>
      <c r="L34" s="405"/>
      <c r="M34" s="405"/>
      <c r="N34" s="430"/>
      <c r="O34" s="430"/>
      <c r="P34" s="430"/>
      <c r="Q34" s="431"/>
      <c r="R34" s="431"/>
      <c r="S34" s="430"/>
      <c r="T34" s="465">
        <f>+T27-T28</f>
        <v>28988439.09</v>
      </c>
      <c r="U34" s="431"/>
      <c r="V34" s="431"/>
      <c r="W34" s="430"/>
      <c r="X34" s="431"/>
      <c r="Y34" s="431"/>
      <c r="Z34" s="431"/>
      <c r="AA34" s="416"/>
      <c r="AB34" s="405"/>
      <c r="AC34" s="405"/>
      <c r="AD34" s="405"/>
      <c r="AE34" s="405"/>
      <c r="AF34" s="291"/>
      <c r="AG34" s="405"/>
      <c r="AH34" s="405"/>
      <c r="AI34" s="405"/>
      <c r="AJ34" s="447"/>
      <c r="AK34" s="405"/>
      <c r="AL34" s="405"/>
      <c r="AM34" s="416"/>
      <c r="AN34" s="416"/>
      <c r="AQ34" s="405"/>
      <c r="AR34" s="405"/>
      <c r="AS34" s="291"/>
      <c r="AT34" s="291"/>
      <c r="BI34" s="431"/>
      <c r="BJ34" s="431"/>
      <c r="BK34" s="450"/>
      <c r="BL34" s="431"/>
      <c r="BM34" s="450"/>
      <c r="BN34" s="431"/>
      <c r="BO34" s="431"/>
      <c r="BP34" s="431"/>
    </row>
    <row r="35" spans="20:40" ht="11.25">
      <c r="T35" s="465">
        <f>36000000-T27</f>
        <v>7011560.91</v>
      </c>
      <c r="AN35" s="467"/>
    </row>
    <row r="36" spans="40:61" ht="11.25">
      <c r="AN36" s="467"/>
      <c r="BI36" s="465">
        <f>SUBTOTAL(9,BI4:BI26)</f>
        <v>7843877.235000001</v>
      </c>
    </row>
    <row r="37" ht="11.25">
      <c r="AN37" s="467"/>
    </row>
    <row r="38" spans="40:75" ht="11.25">
      <c r="AN38" s="467"/>
      <c r="BT38" s="500"/>
      <c r="BU38" s="843"/>
      <c r="BV38" s="504"/>
      <c r="BW38" s="704"/>
    </row>
    <row r="39" spans="72:75" ht="11.25">
      <c r="BT39" s="500"/>
      <c r="BU39" s="843"/>
      <c r="BV39" s="504"/>
      <c r="BW39" s="704"/>
    </row>
  </sheetData>
  <mergeCells count="8">
    <mergeCell ref="CL1:CX1"/>
    <mergeCell ref="BY1:CK1"/>
    <mergeCell ref="BI1:BX1"/>
    <mergeCell ref="EY1:FP1"/>
    <mergeCell ref="CY1:DK1"/>
    <mergeCell ref="DL1:DX1"/>
    <mergeCell ref="DY1:EK1"/>
    <mergeCell ref="EL1:EX1"/>
  </mergeCells>
  <hyperlinks>
    <hyperlink ref="AT13" r:id="rId1" display="dora.palmiotti@costellazioneapulia.net"/>
    <hyperlink ref="AT8" r:id="rId2" display="fabio.spilotros@libero.it"/>
    <hyperlink ref="AS18" r:id="rId3" display="ara.puglia@tiscali.it"/>
    <hyperlink ref="AX12" r:id="rId4" display="\\Sciacovellitcno\divella\Documenti\26_farmacisti\Istruttoria I quota anticipazione.doc"/>
    <hyperlink ref="AS8" r:id="rId5" display="fabio.spilotros@libero.it"/>
    <hyperlink ref="AX26" r:id="rId6" display="\\Sciacovellitcno\divella\Documenti\50-Confcommercio Incom\Istruttoria I Quota.doc"/>
    <hyperlink ref="AX18" r:id="rId7" display="ALLEGATO 2"/>
    <hyperlink ref="AX11" r:id="rId8" display="\\Sciacovellitcno\Misura62 di nicola\Misura 62 imprese\valutazioni\25_Arch-online_Ass_Architetti\Istruttoria I Quota.doc"/>
    <hyperlink ref="AX19" r:id="rId9" display="ALLEGATO 2"/>
    <hyperlink ref="AX4" r:id="rId10" display="ALLEGATO 2"/>
    <hyperlink ref="AX9" r:id="rId11" display="xxxxxx"/>
    <hyperlink ref="AX7" r:id="rId12" display="ALLEGATO 2"/>
    <hyperlink ref="AX10" r:id="rId13" display="ALLEGATO 2"/>
    <hyperlink ref="AX16" r:id="rId14" display="\\Sciacovellitcno\Misura62 di nicola\Misura 62 imprese\valutazioni\30-Viridia Agronomi\Istruttoria I Quota.doc"/>
    <hyperlink ref="AX14" r:id="rId15" display="ALLEGATO 2"/>
    <hyperlink ref="AX17" r:id="rId16" display="ALLEGATO 2"/>
    <hyperlink ref="AX6" r:id="rId17" display="ALLEGATO 2"/>
    <hyperlink ref="AX13" r:id="rId18" display="ALLEGATO 2"/>
    <hyperlink ref="AT5" r:id="rId19" display="legacoop@legapuglia.it"/>
    <hyperlink ref="AX20" r:id="rId20" display="Bari, 26/10/2004"/>
    <hyperlink ref="AX23" r:id="rId21" display="Bari, 26/10/2004"/>
    <hyperlink ref="AX25" r:id="rId22" display="Bari, 26/10/2004"/>
    <hyperlink ref="AX15" r:id="rId23" display="Bari, 26/10/2004"/>
    <hyperlink ref="AX22" r:id="rId24" display="Bari, 26/10/2004"/>
    <hyperlink ref="AS24" r:id="rId25" display="Cnalucera@tiscalinet.it"/>
    <hyperlink ref="AT14" r:id="rId26" display="puglia@cna.it"/>
    <hyperlink ref="AT26" r:id="rId27" display="puglia@confcommercio.it"/>
    <hyperlink ref="AT25" r:id="rId28" display="carlo.poppa@libero.it"/>
    <hyperlink ref="AT17" r:id="rId29" display="bari@cng.it"/>
    <hyperlink ref="AS17" r:id="rId30" display="bari@cng.it"/>
    <hyperlink ref="AT20" r:id="rId31" display="apimasalento@libero.it"/>
    <hyperlink ref="AS23" r:id="rId32" display="gio725@libero.it"/>
    <hyperlink ref="AS19" r:id="rId33" display="f.catapano@cia.it"/>
    <hyperlink ref="AS21" r:id="rId34" display="r.rollo@ausl.le.it"/>
    <hyperlink ref="AS22" r:id="rId35" display="c.fonseca@tiscali.it"/>
    <hyperlink ref="AT15" r:id="rId36" display="amoruso@danieleamoruso.it"/>
    <hyperlink ref="AT7" r:id="rId37" display="conf-puglia@flashnet.it"/>
    <hyperlink ref="AT33" r:id="rId38" display="targeda@libero.it"/>
    <hyperlink ref="AT10" r:id="rId39" display="uncibari@libero.it"/>
    <hyperlink ref="AT9" r:id="rId40" display="confartigianato.puglia@virgilio.it"/>
    <hyperlink ref="AT6" r:id="rId41" display="confapipuglia@libero.it"/>
    <hyperlink ref="AT4" r:id="rId42" display="ancepgl@tin.it"/>
    <hyperlink ref="AT3" r:id="rId43" display="confindustriapuglia@confindustriapuglia.it"/>
    <hyperlink ref="AS26" r:id="rId44" display="puglia@confcommercio.it"/>
    <hyperlink ref="AT18" r:id="rId45" display="ced@apaba.it"/>
    <hyperlink ref="AS25" r:id="rId46" display="robertopapadia@tiscali.it"/>
    <hyperlink ref="AS16" r:id="rId47" display="studiomilillo@libero.it"/>
    <hyperlink ref="AS13" r:id="rId48" display="manzariv@sudsistemi.it"/>
    <hyperlink ref="AS20" r:id="rId49" display="apimasalento@libero.it"/>
    <hyperlink ref="AS7" r:id="rId50" display="conf-puglia@flashnet.it"/>
    <hyperlink ref="AS33" r:id="rId51" display="targeda@libero.it"/>
    <hyperlink ref="AT19" r:id="rId52" display="puglia@cia.it"/>
    <hyperlink ref="AT23" r:id="rId53" display="info@pugliadoc.net"/>
    <hyperlink ref="AT21" r:id="rId54" display="info@ordinemedici-lecce.it"/>
    <hyperlink ref="AT22" r:id="rId55" display="federazioneingegneri@ingpuglia.it"/>
    <hyperlink ref="AS5" r:id="rId56" display="rmarazia@libero.it"/>
    <hyperlink ref="AS4" r:id="rId57" display="ancepgl@tin.it"/>
    <hyperlink ref="AS15" r:id="rId58" display="amoruso@danieleamoruso.it"/>
    <hyperlink ref="AS14" r:id="rId59" display="samy.dicomite@inwind.it"/>
    <hyperlink ref="AS6" r:id="rId60" display="confapipuglia@libero.it"/>
    <hyperlink ref="AS11" r:id="rId61" display="infobari@archiworld.it"/>
    <hyperlink ref="AS9" r:id="rId62" display="confartigianato.puglia@virgilio.it"/>
    <hyperlink ref="AS10" r:id="rId63" display="uncibari@libero.it"/>
  </hyperlinks>
  <printOptions gridLines="1"/>
  <pageMargins left="0.17" right="0.18" top="1" bottom="1" header="0.5" footer="0.5"/>
  <pageSetup fitToHeight="1" fitToWidth="1" horizontalDpi="1200" verticalDpi="1200" orientation="landscape" paperSize="9" r:id="rId66"/>
  <legacyDrawing r:id="rId65"/>
</worksheet>
</file>

<file path=xl/worksheets/sheet4.xml><?xml version="1.0" encoding="utf-8"?>
<worksheet xmlns="http://schemas.openxmlformats.org/spreadsheetml/2006/main" xmlns:r="http://schemas.openxmlformats.org/officeDocument/2006/relationships">
  <sheetPr>
    <outlinePr summaryBelow="0"/>
  </sheetPr>
  <dimension ref="A1:EC392"/>
  <sheetViews>
    <sheetView zoomScalePageLayoutView="0" workbookViewId="0" topLeftCell="A1">
      <pane xSplit="5" ySplit="1" topLeftCell="AG2" activePane="bottomRight" state="frozen"/>
      <selection pane="topLeft" activeCell="A1" sqref="A1"/>
      <selection pane="topRight" activeCell="F1" sqref="F1"/>
      <selection pane="bottomLeft" activeCell="A2" sqref="A2"/>
      <selection pane="bottomRight" activeCell="AH385" sqref="AH385"/>
    </sheetView>
  </sheetViews>
  <sheetFormatPr defaultColWidth="9.140625" defaultRowHeight="12.75" outlineLevelRow="1"/>
  <cols>
    <col min="1" max="1" width="3.7109375" style="49" customWidth="1"/>
    <col min="2" max="2" width="4.28125" style="49" customWidth="1"/>
    <col min="3" max="3" width="16.8515625" style="49" customWidth="1"/>
    <col min="4" max="4" width="12.8515625" style="49" hidden="1" customWidth="1"/>
    <col min="5" max="5" width="5.421875" style="82" customWidth="1"/>
    <col min="6" max="6" width="4.57421875" style="127" customWidth="1"/>
    <col min="7" max="7" width="5.00390625" style="82" customWidth="1"/>
    <col min="8" max="8" width="8.7109375" style="49" customWidth="1"/>
    <col min="9" max="9" width="9.57421875" style="262" customWidth="1"/>
    <col min="10" max="10" width="8.57421875" style="49" customWidth="1"/>
    <col min="11" max="11" width="8.28125" style="49" customWidth="1"/>
    <col min="12" max="12" width="8.421875" style="49" customWidth="1"/>
    <col min="13" max="13" width="8.00390625" style="49" customWidth="1"/>
    <col min="14" max="14" width="7.421875" style="49" customWidth="1"/>
    <col min="15" max="15" width="8.421875" style="49" customWidth="1"/>
    <col min="16" max="16" width="6.421875" style="49" customWidth="1"/>
    <col min="17" max="17" width="10.57421875" style="49" customWidth="1"/>
    <col min="18" max="19" width="11.57421875" style="49" bestFit="1" customWidth="1"/>
    <col min="20" max="20" width="10.57421875" style="49" customWidth="1"/>
    <col min="21" max="21" width="10.28125" style="49" customWidth="1"/>
    <col min="22" max="22" width="9.00390625" style="49" customWidth="1"/>
    <col min="23" max="23" width="8.8515625" style="49" customWidth="1"/>
    <col min="24" max="24" width="10.28125" style="49" customWidth="1"/>
    <col min="25" max="25" width="7.57421875" style="49" customWidth="1"/>
    <col min="26" max="26" width="10.140625" style="49" customWidth="1"/>
    <col min="27" max="27" width="9.00390625" style="49" customWidth="1"/>
    <col min="28" max="28" width="10.421875" style="49" customWidth="1"/>
    <col min="29" max="30" width="9.28125" style="49" customWidth="1"/>
    <col min="31" max="31" width="8.8515625" style="49" customWidth="1"/>
    <col min="32" max="32" width="9.00390625" style="49" customWidth="1"/>
    <col min="33" max="33" width="9.8515625" style="49" customWidth="1"/>
    <col min="34" max="34" width="6.8515625" style="49" customWidth="1"/>
    <col min="35" max="35" width="10.421875" style="49" customWidth="1"/>
    <col min="36" max="36" width="12.140625" style="49" bestFit="1" customWidth="1"/>
    <col min="37" max="37" width="11.28125" style="49" customWidth="1"/>
    <col min="38" max="38" width="9.28125" style="49" bestFit="1" customWidth="1"/>
    <col min="39" max="39" width="11.28125" style="49" customWidth="1"/>
    <col min="40" max="41" width="9.28125" style="49" bestFit="1" customWidth="1"/>
    <col min="42" max="42" width="11.7109375" style="49" bestFit="1" customWidth="1"/>
    <col min="43" max="43" width="9.140625" style="49" customWidth="1"/>
    <col min="44" max="44" width="11.57421875" style="49" customWidth="1"/>
    <col min="45" max="46" width="11.421875" style="49" bestFit="1" customWidth="1"/>
    <col min="47" max="47" width="9.421875" style="49" bestFit="1" customWidth="1"/>
    <col min="48" max="48" width="11.421875" style="49" bestFit="1" customWidth="1"/>
    <col min="49" max="49" width="9.421875" style="49" bestFit="1" customWidth="1"/>
    <col min="50" max="50" width="10.28125" style="49" bestFit="1" customWidth="1"/>
    <col min="51" max="51" width="10.7109375" style="49" bestFit="1" customWidth="1"/>
    <col min="52" max="52" width="10.00390625" style="49" customWidth="1"/>
    <col min="53" max="53" width="10.57421875" style="49" bestFit="1" customWidth="1"/>
    <col min="54" max="16384" width="9.140625" style="49" customWidth="1"/>
  </cols>
  <sheetData>
    <row r="1" spans="1:133" s="21" customFormat="1" ht="45">
      <c r="A1" s="6" t="s">
        <v>481</v>
      </c>
      <c r="B1" s="47" t="s">
        <v>478</v>
      </c>
      <c r="C1" s="47" t="s">
        <v>461</v>
      </c>
      <c r="D1" s="47" t="s">
        <v>460</v>
      </c>
      <c r="E1" s="79" t="s">
        <v>470</v>
      </c>
      <c r="F1" s="124" t="s">
        <v>528</v>
      </c>
      <c r="G1" s="79" t="s">
        <v>529</v>
      </c>
      <c r="H1" s="78" t="s">
        <v>469</v>
      </c>
      <c r="I1" s="258" t="s">
        <v>462</v>
      </c>
      <c r="J1" s="76" t="s">
        <v>463</v>
      </c>
      <c r="K1" s="76" t="s">
        <v>464</v>
      </c>
      <c r="L1" s="76" t="s">
        <v>526</v>
      </c>
      <c r="M1" s="76" t="s">
        <v>466</v>
      </c>
      <c r="N1" s="76" t="s">
        <v>467</v>
      </c>
      <c r="O1" s="76" t="s">
        <v>475</v>
      </c>
      <c r="P1" s="76" t="s">
        <v>476</v>
      </c>
      <c r="Q1" s="86" t="s">
        <v>474</v>
      </c>
      <c r="R1" s="87" t="s">
        <v>462</v>
      </c>
      <c r="S1" s="87" t="s">
        <v>463</v>
      </c>
      <c r="T1" s="87" t="s">
        <v>464</v>
      </c>
      <c r="U1" s="87" t="s">
        <v>465</v>
      </c>
      <c r="V1" s="87" t="s">
        <v>466</v>
      </c>
      <c r="W1" s="87" t="s">
        <v>467</v>
      </c>
      <c r="X1" s="87" t="s">
        <v>475</v>
      </c>
      <c r="Y1" s="87" t="s">
        <v>476</v>
      </c>
      <c r="Z1" s="85" t="s">
        <v>468</v>
      </c>
      <c r="AA1" s="77" t="s">
        <v>462</v>
      </c>
      <c r="AB1" s="77" t="s">
        <v>463</v>
      </c>
      <c r="AC1" s="77" t="s">
        <v>464</v>
      </c>
      <c r="AD1" s="77" t="s">
        <v>465</v>
      </c>
      <c r="AE1" s="77" t="s">
        <v>466</v>
      </c>
      <c r="AF1" s="77" t="s">
        <v>467</v>
      </c>
      <c r="AG1" s="77" t="s">
        <v>475</v>
      </c>
      <c r="AH1" s="77" t="s">
        <v>476</v>
      </c>
      <c r="AI1" s="682" t="s">
        <v>420</v>
      </c>
      <c r="AJ1" s="683" t="s">
        <v>462</v>
      </c>
      <c r="AK1" s="683" t="s">
        <v>463</v>
      </c>
      <c r="AL1" s="683" t="s">
        <v>464</v>
      </c>
      <c r="AM1" s="683" t="s">
        <v>465</v>
      </c>
      <c r="AN1" s="683" t="s">
        <v>466</v>
      </c>
      <c r="AO1" s="683" t="s">
        <v>467</v>
      </c>
      <c r="AP1" s="683" t="s">
        <v>475</v>
      </c>
      <c r="AQ1" s="683" t="s">
        <v>476</v>
      </c>
      <c r="AR1" s="684" t="s">
        <v>420</v>
      </c>
      <c r="AS1" s="562" t="s">
        <v>462</v>
      </c>
      <c r="AT1" s="562" t="s">
        <v>463</v>
      </c>
      <c r="AU1" s="562" t="s">
        <v>464</v>
      </c>
      <c r="AV1" s="562" t="s">
        <v>465</v>
      </c>
      <c r="AW1" s="562" t="s">
        <v>466</v>
      </c>
      <c r="AX1" s="562" t="s">
        <v>467</v>
      </c>
      <c r="AY1" s="562" t="s">
        <v>475</v>
      </c>
      <c r="AZ1" s="562" t="s">
        <v>476</v>
      </c>
      <c r="BA1" s="684" t="s">
        <v>420</v>
      </c>
      <c r="BB1" s="562" t="s">
        <v>462</v>
      </c>
      <c r="BC1" s="562" t="s">
        <v>463</v>
      </c>
      <c r="BD1" s="562" t="s">
        <v>464</v>
      </c>
      <c r="BE1" s="562" t="s">
        <v>465</v>
      </c>
      <c r="BF1" s="562" t="s">
        <v>466</v>
      </c>
      <c r="BG1" s="562" t="s">
        <v>467</v>
      </c>
      <c r="BH1" s="562" t="s">
        <v>475</v>
      </c>
      <c r="BI1" s="562" t="s">
        <v>476</v>
      </c>
      <c r="BJ1" s="54"/>
      <c r="BK1" s="51"/>
      <c r="BL1" s="55"/>
      <c r="BM1" s="45"/>
      <c r="BN1" s="45"/>
      <c r="BO1" s="53"/>
      <c r="BP1" s="24"/>
      <c r="BQ1" s="38"/>
      <c r="BR1" s="8"/>
      <c r="BS1" s="25"/>
      <c r="BT1" s="33"/>
      <c r="BU1" s="26"/>
      <c r="BV1" s="26"/>
      <c r="BW1" s="26"/>
      <c r="BX1" s="26"/>
      <c r="BY1" s="26"/>
      <c r="BZ1" s="26"/>
      <c r="CA1" s="27"/>
      <c r="CB1" s="27"/>
      <c r="CC1" s="27"/>
      <c r="CD1" s="27"/>
      <c r="CE1" s="27"/>
      <c r="CF1" s="9"/>
      <c r="CG1" s="7"/>
      <c r="CH1" s="20"/>
      <c r="CI1" s="20"/>
      <c r="CJ1" s="20"/>
      <c r="CK1" s="20"/>
      <c r="CL1" s="20"/>
      <c r="CM1" s="20"/>
      <c r="CN1" s="3"/>
      <c r="CO1" s="20"/>
      <c r="CP1" s="20"/>
      <c r="CQ1" s="20"/>
      <c r="CR1" s="20"/>
      <c r="CT1" s="20"/>
      <c r="CU1" s="20"/>
      <c r="CV1" s="20"/>
      <c r="CW1" s="3"/>
      <c r="CX1" s="20"/>
      <c r="CY1" s="20"/>
      <c r="CZ1" s="20"/>
      <c r="DA1" s="20"/>
      <c r="DB1" s="20"/>
      <c r="DC1" s="34"/>
      <c r="DD1" s="3"/>
      <c r="DE1" s="20"/>
      <c r="DF1" s="7"/>
      <c r="DG1" s="2"/>
      <c r="DH1" s="20"/>
      <c r="DI1" s="3"/>
      <c r="DJ1" s="1"/>
      <c r="DK1" s="1"/>
      <c r="DL1" s="3"/>
      <c r="DM1" s="1"/>
      <c r="DN1" s="1"/>
      <c r="DO1" s="50"/>
      <c r="DP1" s="4"/>
      <c r="DQ1" s="66"/>
      <c r="DR1" s="69"/>
      <c r="DS1" s="67"/>
      <c r="DT1" s="68"/>
      <c r="DU1" s="70"/>
      <c r="DV1" s="72"/>
      <c r="DW1" s="71"/>
      <c r="DZ1" s="73"/>
      <c r="EC1" s="63"/>
    </row>
    <row r="2" spans="1:74" s="95" customFormat="1" ht="12" customHeight="1" collapsed="1">
      <c r="A2" s="117">
        <v>3</v>
      </c>
      <c r="B2" s="118" t="s">
        <v>482</v>
      </c>
      <c r="C2" s="118" t="s">
        <v>560</v>
      </c>
      <c r="D2" s="118" t="s">
        <v>561</v>
      </c>
      <c r="E2" s="119"/>
      <c r="F2" s="125">
        <f>SUM(F3:F34)</f>
        <v>659.55</v>
      </c>
      <c r="G2" s="119">
        <v>217</v>
      </c>
      <c r="H2" s="111">
        <f>SUM(H3:H34)</f>
        <v>5000.7999</v>
      </c>
      <c r="I2" s="259">
        <f>SUM(I3:I34)</f>
        <v>1134.3010000000002</v>
      </c>
      <c r="J2" s="111">
        <f aca="true" t="shared" si="0" ref="J2:P2">SUM(J3:J34)</f>
        <v>1749.1819999999998</v>
      </c>
      <c r="K2" s="111">
        <f t="shared" si="0"/>
        <v>312</v>
      </c>
      <c r="L2" s="111">
        <f t="shared" si="0"/>
        <v>494.08</v>
      </c>
      <c r="M2" s="111">
        <f t="shared" si="0"/>
        <v>485.33000000000004</v>
      </c>
      <c r="N2" s="111">
        <f>SUM(N3:N34)</f>
        <v>667.7</v>
      </c>
      <c r="O2" s="111">
        <f t="shared" si="0"/>
        <v>158.2069</v>
      </c>
      <c r="P2" s="111">
        <f t="shared" si="0"/>
        <v>0</v>
      </c>
      <c r="Q2" s="111">
        <f>SUM(Q3:Q34)</f>
        <v>3846.0674099999997</v>
      </c>
      <c r="R2" s="111">
        <f aca="true" t="shared" si="1" ref="R2:X2">SUM(R3:R34)</f>
        <v>801.0749999999999</v>
      </c>
      <c r="S2" s="111">
        <f t="shared" si="1"/>
        <v>1438.43624</v>
      </c>
      <c r="T2" s="111">
        <f t="shared" si="1"/>
        <v>189.9145</v>
      </c>
      <c r="U2" s="111">
        <f t="shared" si="1"/>
        <v>515.99886</v>
      </c>
      <c r="V2" s="111">
        <f t="shared" si="1"/>
        <v>178.23989</v>
      </c>
      <c r="W2" s="111">
        <f t="shared" si="1"/>
        <v>606.26476</v>
      </c>
      <c r="X2" s="111">
        <f t="shared" si="1"/>
        <v>116.13816000000001</v>
      </c>
      <c r="Y2" s="111">
        <f>SUM(Y3:Y33)</f>
        <v>0</v>
      </c>
      <c r="Z2" s="111">
        <f aca="true" t="shared" si="2" ref="Z2:AG2">SUM(Z3:Z34)</f>
        <v>3846.0674099999997</v>
      </c>
      <c r="AA2" s="111">
        <f t="shared" si="2"/>
        <v>801.0749999999999</v>
      </c>
      <c r="AB2" s="111">
        <f t="shared" si="2"/>
        <v>1438.43624</v>
      </c>
      <c r="AC2" s="111">
        <f t="shared" si="2"/>
        <v>189.9145</v>
      </c>
      <c r="AD2" s="111">
        <f t="shared" si="2"/>
        <v>515.99886</v>
      </c>
      <c r="AE2" s="111">
        <f t="shared" si="2"/>
        <v>178.23989</v>
      </c>
      <c r="AF2" s="111">
        <f t="shared" si="2"/>
        <v>606.26476</v>
      </c>
      <c r="AG2" s="111">
        <f t="shared" si="2"/>
        <v>116.13816000000001</v>
      </c>
      <c r="AH2" s="111">
        <f>SUM(AH3:AH33)</f>
        <v>0</v>
      </c>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row>
    <row r="3" spans="1:34" s="123" customFormat="1" ht="12" customHeight="1" hidden="1" outlineLevel="1">
      <c r="A3" s="10"/>
      <c r="B3" s="46"/>
      <c r="C3" s="122" t="s">
        <v>562</v>
      </c>
      <c r="D3" s="96"/>
      <c r="E3" s="81">
        <v>1</v>
      </c>
      <c r="F3" s="116">
        <v>62</v>
      </c>
      <c r="G3" s="81"/>
      <c r="H3" s="128">
        <f>SUM(I3:P3)</f>
        <v>367</v>
      </c>
      <c r="I3" s="260">
        <v>193.2</v>
      </c>
      <c r="J3" s="134">
        <v>166.8</v>
      </c>
      <c r="K3" s="134"/>
      <c r="L3" s="134"/>
      <c r="M3" s="134"/>
      <c r="N3" s="134"/>
      <c r="O3" s="134">
        <v>7</v>
      </c>
      <c r="P3" s="109"/>
      <c r="Q3" s="128">
        <f>SUM(R3:X3)</f>
        <v>342.2049999999999</v>
      </c>
      <c r="R3" s="300">
        <v>146.915</v>
      </c>
      <c r="S3" s="300">
        <v>179.39</v>
      </c>
      <c r="T3" s="300"/>
      <c r="U3" s="300"/>
      <c r="V3" s="300"/>
      <c r="W3" s="300"/>
      <c r="X3" s="300">
        <v>15.9</v>
      </c>
      <c r="Y3" s="301"/>
      <c r="Z3" s="128">
        <f aca="true" t="shared" si="3" ref="Z3:Z18">SUM(AA3:AG3)</f>
        <v>342.2049999999999</v>
      </c>
      <c r="AA3" s="300">
        <v>146.915</v>
      </c>
      <c r="AB3" s="300">
        <v>179.39</v>
      </c>
      <c r="AC3" s="300"/>
      <c r="AD3" s="300"/>
      <c r="AE3" s="300"/>
      <c r="AF3" s="300"/>
      <c r="AG3" s="300">
        <v>15.9</v>
      </c>
      <c r="AH3" s="301"/>
    </row>
    <row r="4" spans="1:34" s="123" customFormat="1" ht="12" customHeight="1" hidden="1" outlineLevel="1">
      <c r="A4" s="10"/>
      <c r="B4" s="46"/>
      <c r="C4" s="122" t="s">
        <v>563</v>
      </c>
      <c r="D4" s="46"/>
      <c r="E4" s="81">
        <v>2</v>
      </c>
      <c r="F4" s="116">
        <v>20.5</v>
      </c>
      <c r="G4" s="81"/>
      <c r="H4" s="128">
        <f aca="true" t="shared" si="4" ref="H4:H34">SUM(I4:P4)</f>
        <v>96.45579000000001</v>
      </c>
      <c r="I4" s="260">
        <v>10.54</v>
      </c>
      <c r="J4" s="134">
        <v>34.2</v>
      </c>
      <c r="K4" s="134">
        <v>7.2</v>
      </c>
      <c r="L4" s="134">
        <v>9.5</v>
      </c>
      <c r="M4" s="134">
        <v>6.3</v>
      </c>
      <c r="N4" s="134">
        <v>25.976</v>
      </c>
      <c r="O4" s="134">
        <v>2.73979</v>
      </c>
      <c r="P4" s="109"/>
      <c r="Q4" s="128">
        <f aca="true" t="shared" si="5" ref="Q4:Q34">SUM(R4:X4)</f>
        <v>108.827</v>
      </c>
      <c r="R4" s="300">
        <v>26.5</v>
      </c>
      <c r="S4" s="300">
        <v>81.377</v>
      </c>
      <c r="T4" s="300"/>
      <c r="U4" s="300"/>
      <c r="V4" s="300"/>
      <c r="W4" s="300"/>
      <c r="X4" s="300">
        <v>0.95</v>
      </c>
      <c r="Y4" s="301"/>
      <c r="Z4" s="128">
        <f t="shared" si="3"/>
        <v>108.827</v>
      </c>
      <c r="AA4" s="300">
        <v>26.5</v>
      </c>
      <c r="AB4" s="300">
        <v>81.377</v>
      </c>
      <c r="AC4" s="300"/>
      <c r="AD4" s="300"/>
      <c r="AE4" s="300"/>
      <c r="AF4" s="300"/>
      <c r="AG4" s="300">
        <v>0.95</v>
      </c>
      <c r="AH4" s="301"/>
    </row>
    <row r="5" spans="1:34" s="123" customFormat="1" ht="12" customHeight="1" hidden="1" outlineLevel="1">
      <c r="A5" s="10"/>
      <c r="B5" s="46"/>
      <c r="C5" s="122" t="s">
        <v>564</v>
      </c>
      <c r="D5" s="96"/>
      <c r="E5" s="81">
        <v>3</v>
      </c>
      <c r="F5" s="116">
        <v>105</v>
      </c>
      <c r="G5" s="81"/>
      <c r="H5" s="128">
        <f t="shared" si="4"/>
        <v>1802.63779</v>
      </c>
      <c r="I5" s="260">
        <v>88.16</v>
      </c>
      <c r="J5" s="134">
        <v>442.762</v>
      </c>
      <c r="K5" s="134">
        <v>234.8</v>
      </c>
      <c r="L5" s="134">
        <v>184.9</v>
      </c>
      <c r="M5" s="134">
        <v>304.1</v>
      </c>
      <c r="N5" s="134">
        <v>495.724</v>
      </c>
      <c r="O5" s="134">
        <v>52.19179</v>
      </c>
      <c r="P5" s="109"/>
      <c r="Q5" s="128">
        <f t="shared" si="5"/>
        <v>1302.98183</v>
      </c>
      <c r="R5" s="300">
        <v>38.9</v>
      </c>
      <c r="S5" s="300">
        <v>232.08287</v>
      </c>
      <c r="T5" s="300">
        <v>112.4145</v>
      </c>
      <c r="U5" s="300">
        <v>209.79381</v>
      </c>
      <c r="V5" s="300">
        <v>93.28989</v>
      </c>
      <c r="W5" s="300">
        <v>599.06476</v>
      </c>
      <c r="X5" s="300">
        <v>17.436</v>
      </c>
      <c r="Y5" s="301"/>
      <c r="Z5" s="128">
        <f t="shared" si="3"/>
        <v>1302.98183</v>
      </c>
      <c r="AA5" s="300">
        <v>38.9</v>
      </c>
      <c r="AB5" s="300">
        <v>232.08287</v>
      </c>
      <c r="AC5" s="300">
        <v>112.4145</v>
      </c>
      <c r="AD5" s="300">
        <v>209.79381</v>
      </c>
      <c r="AE5" s="300">
        <v>93.28989</v>
      </c>
      <c r="AF5" s="300">
        <v>599.06476</v>
      </c>
      <c r="AG5" s="300">
        <v>17.436</v>
      </c>
      <c r="AH5" s="301"/>
    </row>
    <row r="6" spans="1:34" s="123" customFormat="1" ht="12" customHeight="1" hidden="1" outlineLevel="1">
      <c r="A6" s="10"/>
      <c r="B6" s="46"/>
      <c r="C6" s="122" t="s">
        <v>565</v>
      </c>
      <c r="D6" s="46"/>
      <c r="E6" s="121" t="s">
        <v>531</v>
      </c>
      <c r="F6" s="116">
        <v>9</v>
      </c>
      <c r="G6" s="81"/>
      <c r="H6" s="128">
        <f t="shared" si="4"/>
        <v>81</v>
      </c>
      <c r="I6" s="260">
        <v>45</v>
      </c>
      <c r="J6" s="134">
        <v>5</v>
      </c>
      <c r="K6" s="134">
        <v>30</v>
      </c>
      <c r="L6" s="134"/>
      <c r="M6" s="134"/>
      <c r="N6" s="134"/>
      <c r="O6" s="134">
        <v>1</v>
      </c>
      <c r="P6" s="109"/>
      <c r="Q6" s="128">
        <f t="shared" si="5"/>
        <v>60</v>
      </c>
      <c r="R6" s="300"/>
      <c r="S6" s="300">
        <v>30</v>
      </c>
      <c r="T6" s="300">
        <v>19.9</v>
      </c>
      <c r="U6" s="300">
        <v>10.1</v>
      </c>
      <c r="V6" s="300"/>
      <c r="W6" s="300"/>
      <c r="X6" s="300"/>
      <c r="Y6" s="302"/>
      <c r="Z6" s="128">
        <f t="shared" si="3"/>
        <v>60</v>
      </c>
      <c r="AA6" s="300"/>
      <c r="AB6" s="300">
        <v>30</v>
      </c>
      <c r="AC6" s="300">
        <v>19.9</v>
      </c>
      <c r="AD6" s="300">
        <v>10.1</v>
      </c>
      <c r="AE6" s="300"/>
      <c r="AF6" s="300"/>
      <c r="AG6" s="300"/>
      <c r="AH6" s="302"/>
    </row>
    <row r="7" spans="1:34" s="123" customFormat="1" ht="12" customHeight="1" hidden="1" outlineLevel="1">
      <c r="A7" s="10"/>
      <c r="B7" s="46"/>
      <c r="C7" s="122" t="s">
        <v>566</v>
      </c>
      <c r="D7" s="46"/>
      <c r="E7" s="121" t="s">
        <v>532</v>
      </c>
      <c r="F7" s="116">
        <v>2</v>
      </c>
      <c r="G7" s="81"/>
      <c r="H7" s="128">
        <f t="shared" si="4"/>
        <v>34</v>
      </c>
      <c r="I7" s="260"/>
      <c r="J7" s="134">
        <v>5</v>
      </c>
      <c r="K7" s="134"/>
      <c r="L7" s="134">
        <v>3</v>
      </c>
      <c r="M7" s="134"/>
      <c r="N7" s="134">
        <v>25</v>
      </c>
      <c r="O7" s="134">
        <v>1</v>
      </c>
      <c r="P7" s="109"/>
      <c r="Q7" s="128">
        <f>SUM(R7:X7)</f>
        <v>25</v>
      </c>
      <c r="R7" s="300"/>
      <c r="S7" s="300">
        <v>9.9</v>
      </c>
      <c r="T7" s="300">
        <v>15.1</v>
      </c>
      <c r="U7" s="300"/>
      <c r="V7" s="300"/>
      <c r="W7" s="300"/>
      <c r="X7" s="300"/>
      <c r="Y7" s="302"/>
      <c r="Z7" s="128">
        <f t="shared" si="3"/>
        <v>25</v>
      </c>
      <c r="AA7" s="300"/>
      <c r="AB7" s="300">
        <v>9.9</v>
      </c>
      <c r="AC7" s="300">
        <v>15.1</v>
      </c>
      <c r="AD7" s="300"/>
      <c r="AE7" s="300"/>
      <c r="AF7" s="300"/>
      <c r="AG7" s="300"/>
      <c r="AH7" s="302"/>
    </row>
    <row r="8" spans="1:34" s="123" customFormat="1" ht="12" customHeight="1" hidden="1" outlineLevel="1">
      <c r="A8" s="10"/>
      <c r="B8" s="46"/>
      <c r="C8" s="122" t="s">
        <v>567</v>
      </c>
      <c r="D8" s="46"/>
      <c r="E8" s="121" t="s">
        <v>533</v>
      </c>
      <c r="F8" s="116">
        <v>27</v>
      </c>
      <c r="G8" s="81"/>
      <c r="H8" s="128">
        <f t="shared" si="4"/>
        <v>164</v>
      </c>
      <c r="I8" s="260">
        <v>24</v>
      </c>
      <c r="J8" s="134">
        <v>115</v>
      </c>
      <c r="K8" s="134"/>
      <c r="L8" s="134"/>
      <c r="M8" s="134"/>
      <c r="N8" s="134">
        <v>20</v>
      </c>
      <c r="O8" s="134">
        <v>5</v>
      </c>
      <c r="P8" s="109"/>
      <c r="Q8" s="128">
        <f t="shared" si="5"/>
        <v>105.5</v>
      </c>
      <c r="R8" s="300">
        <v>44</v>
      </c>
      <c r="S8" s="300">
        <v>60</v>
      </c>
      <c r="T8" s="300"/>
      <c r="U8" s="300"/>
      <c r="V8" s="300"/>
      <c r="W8" s="300"/>
      <c r="X8" s="300">
        <v>1.5</v>
      </c>
      <c r="Y8" s="302"/>
      <c r="Z8" s="128">
        <f t="shared" si="3"/>
        <v>105.5</v>
      </c>
      <c r="AA8" s="300">
        <v>44</v>
      </c>
      <c r="AB8" s="300">
        <v>60</v>
      </c>
      <c r="AC8" s="300"/>
      <c r="AD8" s="300"/>
      <c r="AE8" s="300"/>
      <c r="AF8" s="300"/>
      <c r="AG8" s="300">
        <v>1.5</v>
      </c>
      <c r="AH8" s="302"/>
    </row>
    <row r="9" spans="1:34" s="123" customFormat="1" ht="12" customHeight="1" hidden="1" outlineLevel="1">
      <c r="A9" s="10"/>
      <c r="B9" s="46"/>
      <c r="C9" s="122" t="s">
        <v>568</v>
      </c>
      <c r="D9" s="46"/>
      <c r="E9" s="121" t="s">
        <v>534</v>
      </c>
      <c r="F9" s="116">
        <v>5.25</v>
      </c>
      <c r="G9" s="81"/>
      <c r="H9" s="128">
        <f t="shared" si="4"/>
        <v>31</v>
      </c>
      <c r="I9" s="260"/>
      <c r="J9" s="134">
        <v>30</v>
      </c>
      <c r="K9" s="134"/>
      <c r="L9" s="134"/>
      <c r="M9" s="134"/>
      <c r="N9" s="134"/>
      <c r="O9" s="134">
        <v>1</v>
      </c>
      <c r="P9" s="109"/>
      <c r="Q9" s="128">
        <f t="shared" si="5"/>
        <v>39</v>
      </c>
      <c r="R9" s="300"/>
      <c r="S9" s="300">
        <v>31.8</v>
      </c>
      <c r="T9" s="300"/>
      <c r="U9" s="300"/>
      <c r="V9" s="300"/>
      <c r="W9" s="300">
        <v>7.2</v>
      </c>
      <c r="X9" s="300"/>
      <c r="Y9" s="302"/>
      <c r="Z9" s="128">
        <f t="shared" si="3"/>
        <v>39</v>
      </c>
      <c r="AA9" s="300"/>
      <c r="AB9" s="300">
        <v>31.8</v>
      </c>
      <c r="AC9" s="300"/>
      <c r="AD9" s="300"/>
      <c r="AE9" s="300"/>
      <c r="AF9" s="300">
        <v>7.2</v>
      </c>
      <c r="AG9" s="300"/>
      <c r="AH9" s="302"/>
    </row>
    <row r="10" spans="1:34" s="123" customFormat="1" ht="12" customHeight="1" hidden="1" outlineLevel="1">
      <c r="A10" s="10"/>
      <c r="B10" s="46"/>
      <c r="C10" s="122" t="s">
        <v>569</v>
      </c>
      <c r="D10" s="46"/>
      <c r="E10" s="121" t="s">
        <v>535</v>
      </c>
      <c r="F10" s="116">
        <v>7</v>
      </c>
      <c r="G10" s="81"/>
      <c r="H10" s="128">
        <f t="shared" si="4"/>
        <v>26</v>
      </c>
      <c r="I10" s="260">
        <v>10</v>
      </c>
      <c r="J10" s="134">
        <v>12</v>
      </c>
      <c r="K10" s="134"/>
      <c r="L10" s="134">
        <v>3</v>
      </c>
      <c r="M10" s="134"/>
      <c r="N10" s="134"/>
      <c r="O10" s="134">
        <v>1</v>
      </c>
      <c r="P10" s="109"/>
      <c r="Q10" s="128">
        <f t="shared" si="5"/>
        <v>12</v>
      </c>
      <c r="R10" s="300"/>
      <c r="S10" s="300">
        <v>12</v>
      </c>
      <c r="T10" s="300"/>
      <c r="U10" s="300"/>
      <c r="V10" s="300"/>
      <c r="W10" s="300"/>
      <c r="X10" s="300"/>
      <c r="Y10" s="302"/>
      <c r="Z10" s="128">
        <f t="shared" si="3"/>
        <v>12</v>
      </c>
      <c r="AA10" s="300"/>
      <c r="AB10" s="300">
        <v>12</v>
      </c>
      <c r="AC10" s="300"/>
      <c r="AD10" s="300"/>
      <c r="AE10" s="300"/>
      <c r="AF10" s="300"/>
      <c r="AG10" s="300"/>
      <c r="AH10" s="302"/>
    </row>
    <row r="11" spans="1:34" s="123" customFormat="1" ht="12" customHeight="1" hidden="1" outlineLevel="1">
      <c r="A11" s="10"/>
      <c r="B11" s="46"/>
      <c r="C11" s="122" t="s">
        <v>570</v>
      </c>
      <c r="D11" s="46"/>
      <c r="E11" s="121" t="s">
        <v>536</v>
      </c>
      <c r="F11" s="116">
        <v>3</v>
      </c>
      <c r="G11" s="81"/>
      <c r="H11" s="128">
        <f t="shared" si="4"/>
        <v>10</v>
      </c>
      <c r="I11" s="260">
        <v>10</v>
      </c>
      <c r="J11" s="134"/>
      <c r="K11" s="134"/>
      <c r="L11" s="134"/>
      <c r="M11" s="134"/>
      <c r="N11" s="134"/>
      <c r="O11" s="134"/>
      <c r="P11" s="109"/>
      <c r="Q11" s="128">
        <f t="shared" si="5"/>
        <v>9</v>
      </c>
      <c r="R11" s="300">
        <v>7</v>
      </c>
      <c r="S11" s="300"/>
      <c r="T11" s="300"/>
      <c r="U11" s="300"/>
      <c r="V11" s="300"/>
      <c r="W11" s="300"/>
      <c r="X11" s="300">
        <v>2</v>
      </c>
      <c r="Y11" s="302"/>
      <c r="Z11" s="128">
        <f t="shared" si="3"/>
        <v>9</v>
      </c>
      <c r="AA11" s="300">
        <v>7</v>
      </c>
      <c r="AB11" s="300"/>
      <c r="AC11" s="300"/>
      <c r="AD11" s="300"/>
      <c r="AE11" s="300"/>
      <c r="AF11" s="300"/>
      <c r="AG11" s="300">
        <v>2</v>
      </c>
      <c r="AH11" s="302"/>
    </row>
    <row r="12" spans="1:34" s="123" customFormat="1" ht="12" customHeight="1" hidden="1" outlineLevel="1">
      <c r="A12" s="10"/>
      <c r="B12" s="46"/>
      <c r="C12" s="122" t="s">
        <v>571</v>
      </c>
      <c r="D12" s="46"/>
      <c r="E12" s="121" t="s">
        <v>537</v>
      </c>
      <c r="F12" s="116">
        <v>22</v>
      </c>
      <c r="G12" s="81"/>
      <c r="H12" s="128">
        <f t="shared" si="4"/>
        <v>214.8</v>
      </c>
      <c r="I12" s="260">
        <v>28.8</v>
      </c>
      <c r="J12" s="134">
        <v>62</v>
      </c>
      <c r="K12" s="134"/>
      <c r="L12" s="134">
        <v>95</v>
      </c>
      <c r="M12" s="134">
        <v>21</v>
      </c>
      <c r="N12" s="134"/>
      <c r="O12" s="134">
        <v>8</v>
      </c>
      <c r="P12" s="109"/>
      <c r="Q12" s="128">
        <f t="shared" si="5"/>
        <v>161.7</v>
      </c>
      <c r="R12" s="300">
        <v>5</v>
      </c>
      <c r="S12" s="300">
        <v>60.7</v>
      </c>
      <c r="T12" s="300">
        <v>30</v>
      </c>
      <c r="U12" s="300">
        <v>60</v>
      </c>
      <c r="V12" s="300"/>
      <c r="W12" s="300"/>
      <c r="X12" s="300">
        <v>6</v>
      </c>
      <c r="Y12" s="302"/>
      <c r="Z12" s="128">
        <f t="shared" si="3"/>
        <v>161.7</v>
      </c>
      <c r="AA12" s="300">
        <v>5</v>
      </c>
      <c r="AB12" s="300">
        <v>60.7</v>
      </c>
      <c r="AC12" s="300">
        <v>30</v>
      </c>
      <c r="AD12" s="300">
        <v>60</v>
      </c>
      <c r="AE12" s="300"/>
      <c r="AF12" s="300"/>
      <c r="AG12" s="300">
        <v>6</v>
      </c>
      <c r="AH12" s="302"/>
    </row>
    <row r="13" spans="1:34" s="123" customFormat="1" ht="12" customHeight="1" hidden="1" outlineLevel="1">
      <c r="A13" s="10"/>
      <c r="B13" s="46"/>
      <c r="C13" s="122" t="s">
        <v>572</v>
      </c>
      <c r="D13" s="46"/>
      <c r="E13" s="121" t="s">
        <v>538</v>
      </c>
      <c r="F13" s="116">
        <v>8</v>
      </c>
      <c r="G13" s="81"/>
      <c r="H13" s="128">
        <f t="shared" si="4"/>
        <v>40</v>
      </c>
      <c r="I13" s="260">
        <v>5</v>
      </c>
      <c r="J13" s="134">
        <v>31</v>
      </c>
      <c r="K13" s="134"/>
      <c r="L13" s="134"/>
      <c r="M13" s="134"/>
      <c r="N13" s="134"/>
      <c r="O13" s="134">
        <v>4</v>
      </c>
      <c r="P13" s="109"/>
      <c r="Q13" s="128">
        <f t="shared" si="5"/>
        <v>65</v>
      </c>
      <c r="R13" s="300">
        <v>10</v>
      </c>
      <c r="S13" s="300">
        <v>50</v>
      </c>
      <c r="T13" s="300"/>
      <c r="U13" s="300"/>
      <c r="V13" s="300"/>
      <c r="W13" s="300"/>
      <c r="X13" s="300">
        <v>5</v>
      </c>
      <c r="Y13" s="302"/>
      <c r="Z13" s="128">
        <f t="shared" si="3"/>
        <v>65</v>
      </c>
      <c r="AA13" s="300">
        <v>10</v>
      </c>
      <c r="AB13" s="300">
        <v>50</v>
      </c>
      <c r="AC13" s="300"/>
      <c r="AD13" s="300"/>
      <c r="AE13" s="300"/>
      <c r="AF13" s="300"/>
      <c r="AG13" s="300">
        <v>5</v>
      </c>
      <c r="AH13" s="302"/>
    </row>
    <row r="14" spans="1:34" s="123" customFormat="1" ht="12" customHeight="1" hidden="1" outlineLevel="1">
      <c r="A14" s="10"/>
      <c r="B14" s="46"/>
      <c r="C14" s="122" t="s">
        <v>573</v>
      </c>
      <c r="D14" s="46"/>
      <c r="E14" s="121" t="s">
        <v>539</v>
      </c>
      <c r="F14" s="116">
        <v>45.5</v>
      </c>
      <c r="G14" s="81"/>
      <c r="H14" s="128">
        <f t="shared" si="4"/>
        <v>148.34842</v>
      </c>
      <c r="I14" s="260">
        <v>51.001</v>
      </c>
      <c r="J14" s="134">
        <v>80</v>
      </c>
      <c r="K14" s="134"/>
      <c r="L14" s="134"/>
      <c r="M14" s="134">
        <v>9.93</v>
      </c>
      <c r="N14" s="134"/>
      <c r="O14" s="134">
        <v>7.41742</v>
      </c>
      <c r="P14" s="109"/>
      <c r="Q14" s="128">
        <f t="shared" si="5"/>
        <v>108.42105</v>
      </c>
      <c r="R14" s="300">
        <v>39</v>
      </c>
      <c r="S14" s="300">
        <v>54.4</v>
      </c>
      <c r="T14" s="300"/>
      <c r="U14" s="300"/>
      <c r="V14" s="300">
        <v>9.6</v>
      </c>
      <c r="W14" s="300"/>
      <c r="X14" s="300">
        <v>5.42105</v>
      </c>
      <c r="Y14" s="302"/>
      <c r="Z14" s="128">
        <f t="shared" si="3"/>
        <v>108.42105</v>
      </c>
      <c r="AA14" s="300">
        <v>39</v>
      </c>
      <c r="AB14" s="300">
        <v>54.4</v>
      </c>
      <c r="AC14" s="300"/>
      <c r="AD14" s="300"/>
      <c r="AE14" s="300">
        <v>9.6</v>
      </c>
      <c r="AF14" s="300"/>
      <c r="AG14" s="300">
        <v>5.42105</v>
      </c>
      <c r="AH14" s="302"/>
    </row>
    <row r="15" spans="1:34" s="123" customFormat="1" ht="12" customHeight="1" hidden="1" outlineLevel="1">
      <c r="A15" s="10"/>
      <c r="B15" s="46"/>
      <c r="C15" s="122" t="s">
        <v>574</v>
      </c>
      <c r="D15" s="46"/>
      <c r="E15" s="121" t="s">
        <v>540</v>
      </c>
      <c r="F15" s="116">
        <v>9</v>
      </c>
      <c r="G15" s="81"/>
      <c r="H15" s="128">
        <f t="shared" si="4"/>
        <v>88</v>
      </c>
      <c r="I15" s="260">
        <v>6</v>
      </c>
      <c r="J15" s="134">
        <v>59</v>
      </c>
      <c r="K15" s="134"/>
      <c r="L15" s="134">
        <v>10</v>
      </c>
      <c r="M15" s="134"/>
      <c r="N15" s="134">
        <v>10</v>
      </c>
      <c r="O15" s="134">
        <v>3</v>
      </c>
      <c r="P15" s="109"/>
      <c r="Q15" s="128">
        <f t="shared" si="5"/>
        <v>87.1424</v>
      </c>
      <c r="R15" s="300">
        <v>11.5</v>
      </c>
      <c r="S15" s="300">
        <v>62.28</v>
      </c>
      <c r="T15" s="300"/>
      <c r="U15" s="300">
        <v>9.8624</v>
      </c>
      <c r="V15" s="300"/>
      <c r="W15" s="300"/>
      <c r="X15" s="300">
        <v>3.5</v>
      </c>
      <c r="Y15" s="302"/>
      <c r="Z15" s="128">
        <f t="shared" si="3"/>
        <v>87.1424</v>
      </c>
      <c r="AA15" s="300">
        <v>11.5</v>
      </c>
      <c r="AB15" s="300">
        <v>62.28</v>
      </c>
      <c r="AC15" s="300"/>
      <c r="AD15" s="300">
        <v>9.8624</v>
      </c>
      <c r="AE15" s="300"/>
      <c r="AF15" s="300"/>
      <c r="AG15" s="300">
        <v>3.5</v>
      </c>
      <c r="AH15" s="302"/>
    </row>
    <row r="16" spans="1:34" s="123" customFormat="1" ht="12" customHeight="1" hidden="1" outlineLevel="1">
      <c r="A16" s="10"/>
      <c r="B16" s="46"/>
      <c r="C16" s="122" t="s">
        <v>575</v>
      </c>
      <c r="D16" s="46"/>
      <c r="E16" s="121" t="s">
        <v>541</v>
      </c>
      <c r="F16" s="116">
        <v>9</v>
      </c>
      <c r="G16" s="81"/>
      <c r="H16" s="128">
        <f t="shared" si="4"/>
        <v>152</v>
      </c>
      <c r="I16" s="260">
        <v>8</v>
      </c>
      <c r="J16" s="134">
        <v>80</v>
      </c>
      <c r="K16" s="134">
        <v>20</v>
      </c>
      <c r="L16" s="134"/>
      <c r="M16" s="134"/>
      <c r="N16" s="134">
        <v>39</v>
      </c>
      <c r="O16" s="134">
        <v>5</v>
      </c>
      <c r="P16" s="109"/>
      <c r="Q16" s="128">
        <f t="shared" si="5"/>
        <v>130.0512</v>
      </c>
      <c r="R16" s="300">
        <v>10</v>
      </c>
      <c r="S16" s="300">
        <v>70.21766</v>
      </c>
      <c r="T16" s="300"/>
      <c r="U16" s="300">
        <v>43.33354</v>
      </c>
      <c r="V16" s="300"/>
      <c r="W16" s="300"/>
      <c r="X16" s="300">
        <v>6.5</v>
      </c>
      <c r="Y16" s="302"/>
      <c r="Z16" s="128">
        <f t="shared" si="3"/>
        <v>130.0512</v>
      </c>
      <c r="AA16" s="300">
        <v>10</v>
      </c>
      <c r="AB16" s="300">
        <v>70.21766</v>
      </c>
      <c r="AC16" s="300"/>
      <c r="AD16" s="300">
        <v>43.33354</v>
      </c>
      <c r="AE16" s="300"/>
      <c r="AF16" s="300"/>
      <c r="AG16" s="300">
        <v>6.5</v>
      </c>
      <c r="AH16" s="302"/>
    </row>
    <row r="17" spans="1:34" s="123" customFormat="1" ht="12" customHeight="1" hidden="1" outlineLevel="1">
      <c r="A17" s="10"/>
      <c r="B17" s="46"/>
      <c r="C17" s="122" t="s">
        <v>596</v>
      </c>
      <c r="D17" s="46"/>
      <c r="E17" s="121" t="s">
        <v>542</v>
      </c>
      <c r="F17" s="116">
        <v>77</v>
      </c>
      <c r="G17" s="81"/>
      <c r="H17" s="128">
        <f t="shared" si="4"/>
        <v>400</v>
      </c>
      <c r="I17" s="260">
        <v>173</v>
      </c>
      <c r="J17" s="134">
        <v>105</v>
      </c>
      <c r="K17" s="134"/>
      <c r="L17" s="134">
        <v>107</v>
      </c>
      <c r="M17" s="134"/>
      <c r="N17" s="134"/>
      <c r="O17" s="134">
        <v>15</v>
      </c>
      <c r="P17" s="109"/>
      <c r="Q17" s="128">
        <f t="shared" si="5"/>
        <v>321.7</v>
      </c>
      <c r="R17" s="300">
        <v>71.96</v>
      </c>
      <c r="S17" s="300">
        <v>156.6</v>
      </c>
      <c r="T17" s="300"/>
      <c r="U17" s="300">
        <v>90</v>
      </c>
      <c r="V17" s="300"/>
      <c r="W17" s="300"/>
      <c r="X17" s="300">
        <v>3.14</v>
      </c>
      <c r="Y17" s="302"/>
      <c r="Z17" s="128">
        <f t="shared" si="3"/>
        <v>321.7</v>
      </c>
      <c r="AA17" s="300">
        <v>71.96</v>
      </c>
      <c r="AB17" s="300">
        <v>156.6</v>
      </c>
      <c r="AC17" s="300"/>
      <c r="AD17" s="300">
        <v>90</v>
      </c>
      <c r="AE17" s="300"/>
      <c r="AF17" s="300"/>
      <c r="AG17" s="300">
        <v>3.14</v>
      </c>
      <c r="AH17" s="302"/>
    </row>
    <row r="18" spans="1:34" s="123" customFormat="1" ht="12" customHeight="1" hidden="1" outlineLevel="1">
      <c r="A18" s="10"/>
      <c r="B18" s="46"/>
      <c r="C18" s="122" t="s">
        <v>597</v>
      </c>
      <c r="D18" s="46"/>
      <c r="E18" s="121" t="s">
        <v>543</v>
      </c>
      <c r="F18" s="116">
        <v>13.3</v>
      </c>
      <c r="G18" s="81"/>
      <c r="H18" s="128">
        <f t="shared" si="4"/>
        <v>40</v>
      </c>
      <c r="I18" s="260">
        <v>30</v>
      </c>
      <c r="J18" s="134"/>
      <c r="K18" s="134"/>
      <c r="L18" s="134"/>
      <c r="M18" s="134">
        <v>9</v>
      </c>
      <c r="N18" s="134"/>
      <c r="O18" s="134">
        <v>1</v>
      </c>
      <c r="P18" s="109"/>
      <c r="Q18" s="128">
        <f>SUM(R18:X18)</f>
        <v>32</v>
      </c>
      <c r="R18" s="300">
        <v>32</v>
      </c>
      <c r="S18" s="300"/>
      <c r="T18" s="300"/>
      <c r="U18" s="300"/>
      <c r="V18" s="300"/>
      <c r="W18" s="300"/>
      <c r="X18" s="300"/>
      <c r="Y18" s="302"/>
      <c r="Z18" s="128">
        <f t="shared" si="3"/>
        <v>32</v>
      </c>
      <c r="AA18" s="300">
        <v>32</v>
      </c>
      <c r="AB18" s="300"/>
      <c r="AC18" s="300"/>
      <c r="AD18" s="300"/>
      <c r="AE18" s="300"/>
      <c r="AF18" s="300"/>
      <c r="AG18" s="300"/>
      <c r="AH18" s="302"/>
    </row>
    <row r="19" spans="1:34" s="123" customFormat="1" ht="12" customHeight="1" hidden="1" outlineLevel="1">
      <c r="A19" s="10"/>
      <c r="B19" s="46"/>
      <c r="C19" s="122" t="s">
        <v>598</v>
      </c>
      <c r="D19" s="46"/>
      <c r="E19" s="121" t="s">
        <v>544</v>
      </c>
      <c r="F19" s="116">
        <v>21.6</v>
      </c>
      <c r="G19" s="81"/>
      <c r="H19" s="128">
        <f t="shared" si="4"/>
        <v>65</v>
      </c>
      <c r="I19" s="260">
        <v>60</v>
      </c>
      <c r="J19" s="134"/>
      <c r="K19" s="134"/>
      <c r="L19" s="134"/>
      <c r="M19" s="134">
        <v>4</v>
      </c>
      <c r="N19" s="134"/>
      <c r="O19" s="134">
        <v>1</v>
      </c>
      <c r="P19" s="109"/>
      <c r="Q19" s="128">
        <f t="shared" si="5"/>
        <v>48</v>
      </c>
      <c r="R19" s="300">
        <v>48</v>
      </c>
      <c r="S19" s="300"/>
      <c r="T19" s="300"/>
      <c r="U19" s="300"/>
      <c r="V19" s="300"/>
      <c r="W19" s="300"/>
      <c r="X19" s="300"/>
      <c r="Y19" s="302"/>
      <c r="Z19" s="128">
        <f aca="true" t="shared" si="6" ref="Z19:Z34">SUM(AA19:AG19)</f>
        <v>48</v>
      </c>
      <c r="AA19" s="300">
        <v>48</v>
      </c>
      <c r="AB19" s="300"/>
      <c r="AC19" s="300"/>
      <c r="AD19" s="300"/>
      <c r="AE19" s="300"/>
      <c r="AF19" s="300"/>
      <c r="AG19" s="300"/>
      <c r="AH19" s="302"/>
    </row>
    <row r="20" spans="1:34" s="123" customFormat="1" ht="12" customHeight="1" hidden="1" outlineLevel="1">
      <c r="A20" s="10"/>
      <c r="B20" s="46"/>
      <c r="C20" s="122" t="s">
        <v>599</v>
      </c>
      <c r="D20" s="46"/>
      <c r="E20" s="121" t="s">
        <v>545</v>
      </c>
      <c r="F20" s="116">
        <v>11.6</v>
      </c>
      <c r="G20" s="81"/>
      <c r="H20" s="128">
        <f t="shared" si="4"/>
        <v>35</v>
      </c>
      <c r="I20" s="260">
        <v>30</v>
      </c>
      <c r="J20" s="134"/>
      <c r="K20" s="134"/>
      <c r="L20" s="134"/>
      <c r="M20" s="134">
        <v>4</v>
      </c>
      <c r="N20" s="134"/>
      <c r="O20" s="134">
        <v>1</v>
      </c>
      <c r="P20" s="109"/>
      <c r="Q20" s="128">
        <f t="shared" si="5"/>
        <v>25</v>
      </c>
      <c r="R20" s="300">
        <v>25</v>
      </c>
      <c r="S20" s="300"/>
      <c r="T20" s="300"/>
      <c r="U20" s="300"/>
      <c r="V20" s="300"/>
      <c r="W20" s="300"/>
      <c r="X20" s="300"/>
      <c r="Y20" s="302"/>
      <c r="Z20" s="128">
        <f t="shared" si="6"/>
        <v>25</v>
      </c>
      <c r="AA20" s="300">
        <v>25</v>
      </c>
      <c r="AB20" s="300"/>
      <c r="AC20" s="300"/>
      <c r="AD20" s="300"/>
      <c r="AE20" s="300"/>
      <c r="AF20" s="300"/>
      <c r="AG20" s="300"/>
      <c r="AH20" s="302"/>
    </row>
    <row r="21" spans="1:34" s="123" customFormat="1" ht="12" customHeight="1" hidden="1" outlineLevel="1">
      <c r="A21" s="10"/>
      <c r="B21" s="46"/>
      <c r="C21" s="122" t="s">
        <v>600</v>
      </c>
      <c r="D21" s="96"/>
      <c r="E21" s="121" t="s">
        <v>546</v>
      </c>
      <c r="F21" s="116"/>
      <c r="G21" s="81"/>
      <c r="H21" s="128">
        <f t="shared" si="4"/>
        <v>41</v>
      </c>
      <c r="I21" s="260"/>
      <c r="J21" s="134">
        <v>40</v>
      </c>
      <c r="K21" s="134"/>
      <c r="L21" s="134"/>
      <c r="M21" s="134"/>
      <c r="N21" s="134"/>
      <c r="O21" s="134">
        <v>1</v>
      </c>
      <c r="P21" s="109"/>
      <c r="Q21" s="128">
        <f t="shared" si="5"/>
        <v>25</v>
      </c>
      <c r="R21" s="300"/>
      <c r="S21" s="300">
        <v>25</v>
      </c>
      <c r="T21" s="300"/>
      <c r="U21" s="300"/>
      <c r="V21" s="300"/>
      <c r="W21" s="300"/>
      <c r="X21" s="300"/>
      <c r="Y21" s="302"/>
      <c r="Z21" s="128">
        <f t="shared" si="6"/>
        <v>25</v>
      </c>
      <c r="AA21" s="300"/>
      <c r="AB21" s="300">
        <v>25</v>
      </c>
      <c r="AC21" s="300"/>
      <c r="AD21" s="300"/>
      <c r="AE21" s="300"/>
      <c r="AF21" s="300"/>
      <c r="AG21" s="300"/>
      <c r="AH21" s="302"/>
    </row>
    <row r="22" spans="1:34" s="123" customFormat="1" ht="12" customHeight="1" hidden="1" outlineLevel="1">
      <c r="A22" s="10"/>
      <c r="B22" s="46"/>
      <c r="C22" s="122" t="s">
        <v>601</v>
      </c>
      <c r="D22" s="46"/>
      <c r="E22" s="121" t="s">
        <v>547</v>
      </c>
      <c r="F22" s="116">
        <v>4</v>
      </c>
      <c r="G22" s="81"/>
      <c r="H22" s="128">
        <f t="shared" si="4"/>
        <v>61</v>
      </c>
      <c r="I22" s="260"/>
      <c r="J22" s="134">
        <v>20</v>
      </c>
      <c r="K22" s="134"/>
      <c r="L22" s="134"/>
      <c r="M22" s="134"/>
      <c r="N22" s="134">
        <v>40</v>
      </c>
      <c r="O22" s="134">
        <v>1</v>
      </c>
      <c r="P22" s="109"/>
      <c r="Q22" s="128">
        <f t="shared" si="5"/>
        <v>44</v>
      </c>
      <c r="R22" s="300"/>
      <c r="S22" s="300">
        <v>31.5</v>
      </c>
      <c r="T22" s="300">
        <v>12.5</v>
      </c>
      <c r="U22" s="300"/>
      <c r="V22" s="300"/>
      <c r="W22" s="300"/>
      <c r="X22" s="300"/>
      <c r="Y22" s="302"/>
      <c r="Z22" s="128">
        <f t="shared" si="6"/>
        <v>44</v>
      </c>
      <c r="AA22" s="300"/>
      <c r="AB22" s="300">
        <v>31.5</v>
      </c>
      <c r="AC22" s="300">
        <v>12.5</v>
      </c>
      <c r="AD22" s="300"/>
      <c r="AE22" s="300"/>
      <c r="AF22" s="300"/>
      <c r="AG22" s="300"/>
      <c r="AH22" s="302"/>
    </row>
    <row r="23" spans="1:34" s="123" customFormat="1" ht="12" customHeight="1" hidden="1" outlineLevel="1">
      <c r="A23" s="10"/>
      <c r="B23" s="46"/>
      <c r="C23" s="122" t="s">
        <v>602</v>
      </c>
      <c r="D23" s="46"/>
      <c r="E23" s="121" t="s">
        <v>548</v>
      </c>
      <c r="F23" s="116">
        <v>6</v>
      </c>
      <c r="G23" s="81"/>
      <c r="H23" s="128">
        <f t="shared" si="4"/>
        <v>36.5</v>
      </c>
      <c r="I23" s="260"/>
      <c r="J23" s="134">
        <v>35</v>
      </c>
      <c r="K23" s="134"/>
      <c r="L23" s="134"/>
      <c r="M23" s="134"/>
      <c r="N23" s="134"/>
      <c r="O23" s="134">
        <v>1.5</v>
      </c>
      <c r="P23" s="109"/>
      <c r="Q23" s="128">
        <f t="shared" si="5"/>
        <v>27</v>
      </c>
      <c r="R23" s="300"/>
      <c r="S23" s="300">
        <v>27</v>
      </c>
      <c r="T23" s="300"/>
      <c r="U23" s="300"/>
      <c r="V23" s="300"/>
      <c r="W23" s="300"/>
      <c r="X23" s="300"/>
      <c r="Y23" s="302"/>
      <c r="Z23" s="128">
        <f t="shared" si="6"/>
        <v>27</v>
      </c>
      <c r="AA23" s="300"/>
      <c r="AB23" s="300">
        <v>27</v>
      </c>
      <c r="AC23" s="300"/>
      <c r="AD23" s="300"/>
      <c r="AE23" s="300"/>
      <c r="AF23" s="300"/>
      <c r="AG23" s="300"/>
      <c r="AH23" s="302"/>
    </row>
    <row r="24" spans="1:34" s="123" customFormat="1" ht="12" customHeight="1" hidden="1" outlineLevel="1">
      <c r="A24" s="10"/>
      <c r="B24" s="46"/>
      <c r="C24" s="122" t="s">
        <v>603</v>
      </c>
      <c r="D24" s="46"/>
      <c r="E24" s="121" t="s">
        <v>549</v>
      </c>
      <c r="F24" s="116">
        <v>8</v>
      </c>
      <c r="G24" s="81"/>
      <c r="H24" s="128">
        <f t="shared" si="4"/>
        <v>26</v>
      </c>
      <c r="I24" s="260">
        <v>25</v>
      </c>
      <c r="J24" s="134"/>
      <c r="K24" s="134"/>
      <c r="L24" s="134"/>
      <c r="M24" s="134"/>
      <c r="N24" s="134"/>
      <c r="O24" s="134">
        <v>1</v>
      </c>
      <c r="P24" s="109"/>
      <c r="Q24" s="128">
        <f t="shared" si="5"/>
        <v>15.5</v>
      </c>
      <c r="R24" s="300">
        <v>14</v>
      </c>
      <c r="S24" s="300"/>
      <c r="T24" s="300"/>
      <c r="U24" s="300"/>
      <c r="V24" s="300"/>
      <c r="W24" s="300"/>
      <c r="X24" s="300">
        <v>1.5</v>
      </c>
      <c r="Y24" s="302"/>
      <c r="Z24" s="128">
        <f t="shared" si="6"/>
        <v>15.5</v>
      </c>
      <c r="AA24" s="300">
        <v>14</v>
      </c>
      <c r="AB24" s="300"/>
      <c r="AC24" s="300"/>
      <c r="AD24" s="300"/>
      <c r="AE24" s="300"/>
      <c r="AF24" s="300"/>
      <c r="AG24" s="300">
        <v>1.5</v>
      </c>
      <c r="AH24" s="302"/>
    </row>
    <row r="25" spans="1:34" s="123" customFormat="1" ht="12" customHeight="1" hidden="1" outlineLevel="1">
      <c r="A25" s="10"/>
      <c r="B25" s="46"/>
      <c r="C25" s="122" t="s">
        <v>604</v>
      </c>
      <c r="D25" s="46"/>
      <c r="E25" s="121" t="s">
        <v>550</v>
      </c>
      <c r="F25" s="116">
        <v>12</v>
      </c>
      <c r="G25" s="81"/>
      <c r="H25" s="128">
        <f t="shared" si="4"/>
        <v>85</v>
      </c>
      <c r="I25" s="260"/>
      <c r="J25" s="134">
        <v>85</v>
      </c>
      <c r="K25" s="134"/>
      <c r="L25" s="134"/>
      <c r="M25" s="134"/>
      <c r="N25" s="134"/>
      <c r="O25" s="134"/>
      <c r="P25" s="109"/>
      <c r="Q25" s="128">
        <f t="shared" si="5"/>
        <v>65</v>
      </c>
      <c r="R25" s="300"/>
      <c r="S25" s="300">
        <v>65</v>
      </c>
      <c r="T25" s="300"/>
      <c r="U25" s="300"/>
      <c r="V25" s="300"/>
      <c r="W25" s="300"/>
      <c r="X25" s="300"/>
      <c r="Y25" s="302"/>
      <c r="Z25" s="128">
        <f t="shared" si="6"/>
        <v>65</v>
      </c>
      <c r="AA25" s="300"/>
      <c r="AB25" s="300">
        <v>65</v>
      </c>
      <c r="AC25" s="300"/>
      <c r="AD25" s="300"/>
      <c r="AE25" s="300"/>
      <c r="AF25" s="300"/>
      <c r="AG25" s="300"/>
      <c r="AH25" s="302"/>
    </row>
    <row r="26" spans="1:34" s="123" customFormat="1" ht="12" customHeight="1" hidden="1" outlineLevel="1">
      <c r="A26" s="10"/>
      <c r="B26" s="46"/>
      <c r="C26" s="122" t="s">
        <v>605</v>
      </c>
      <c r="D26" s="46"/>
      <c r="E26" s="121" t="s">
        <v>551</v>
      </c>
      <c r="F26" s="116">
        <v>51</v>
      </c>
      <c r="G26" s="81"/>
      <c r="H26" s="128">
        <f t="shared" si="4"/>
        <v>163.4</v>
      </c>
      <c r="I26" s="260">
        <v>146.9</v>
      </c>
      <c r="J26" s="134">
        <v>10</v>
      </c>
      <c r="K26" s="134"/>
      <c r="L26" s="134"/>
      <c r="M26" s="134"/>
      <c r="N26" s="134"/>
      <c r="O26" s="134">
        <v>6.5</v>
      </c>
      <c r="P26" s="109"/>
      <c r="Q26" s="128">
        <f t="shared" si="5"/>
        <v>117</v>
      </c>
      <c r="R26" s="300">
        <v>104.5</v>
      </c>
      <c r="S26" s="300"/>
      <c r="T26" s="300"/>
      <c r="U26" s="300"/>
      <c r="V26" s="300"/>
      <c r="W26" s="300"/>
      <c r="X26" s="300">
        <v>12.5</v>
      </c>
      <c r="Y26" s="302"/>
      <c r="Z26" s="128">
        <f t="shared" si="6"/>
        <v>117</v>
      </c>
      <c r="AA26" s="300">
        <v>104.5</v>
      </c>
      <c r="AB26" s="300"/>
      <c r="AC26" s="300"/>
      <c r="AD26" s="300"/>
      <c r="AE26" s="300"/>
      <c r="AF26" s="300"/>
      <c r="AG26" s="300">
        <v>12.5</v>
      </c>
      <c r="AH26" s="302"/>
    </row>
    <row r="27" spans="1:34" s="123" customFormat="1" ht="12" customHeight="1" hidden="1" outlineLevel="1">
      <c r="A27" s="10"/>
      <c r="B27" s="46"/>
      <c r="C27" s="122" t="s">
        <v>606</v>
      </c>
      <c r="D27" s="46"/>
      <c r="E27" s="121" t="s">
        <v>552</v>
      </c>
      <c r="F27" s="116">
        <v>7.5</v>
      </c>
      <c r="G27" s="81"/>
      <c r="H27" s="128">
        <f t="shared" si="4"/>
        <v>50</v>
      </c>
      <c r="I27" s="260">
        <v>14</v>
      </c>
      <c r="J27" s="134">
        <v>12</v>
      </c>
      <c r="K27" s="134"/>
      <c r="L27" s="134"/>
      <c r="M27" s="134">
        <v>12</v>
      </c>
      <c r="N27" s="134">
        <v>8</v>
      </c>
      <c r="O27" s="134">
        <v>4</v>
      </c>
      <c r="P27" s="109"/>
      <c r="Q27" s="128">
        <f t="shared" si="5"/>
        <v>36</v>
      </c>
      <c r="R27" s="300">
        <v>10</v>
      </c>
      <c r="S27" s="300">
        <v>10</v>
      </c>
      <c r="T27" s="300"/>
      <c r="U27" s="300"/>
      <c r="V27" s="300">
        <v>4</v>
      </c>
      <c r="W27" s="300"/>
      <c r="X27" s="300">
        <v>12</v>
      </c>
      <c r="Y27" s="302"/>
      <c r="Z27" s="128">
        <f t="shared" si="6"/>
        <v>36</v>
      </c>
      <c r="AA27" s="300">
        <v>10</v>
      </c>
      <c r="AB27" s="300">
        <v>10</v>
      </c>
      <c r="AC27" s="300"/>
      <c r="AD27" s="300"/>
      <c r="AE27" s="300">
        <v>4</v>
      </c>
      <c r="AF27" s="300"/>
      <c r="AG27" s="300">
        <v>12</v>
      </c>
      <c r="AH27" s="302"/>
    </row>
    <row r="28" spans="1:34" s="123" customFormat="1" ht="12" customHeight="1" hidden="1" outlineLevel="1">
      <c r="A28" s="10"/>
      <c r="B28" s="46"/>
      <c r="C28" s="122" t="s">
        <v>607</v>
      </c>
      <c r="D28" s="46"/>
      <c r="E28" s="121" t="s">
        <v>553</v>
      </c>
      <c r="F28" s="116">
        <v>10</v>
      </c>
      <c r="G28" s="81"/>
      <c r="H28" s="128">
        <f t="shared" si="4"/>
        <v>43.52632</v>
      </c>
      <c r="I28" s="260">
        <v>22.5</v>
      </c>
      <c r="J28" s="134">
        <v>15</v>
      </c>
      <c r="K28" s="134"/>
      <c r="L28" s="134"/>
      <c r="M28" s="134">
        <v>3.85</v>
      </c>
      <c r="N28" s="134"/>
      <c r="O28" s="134">
        <v>2.17632</v>
      </c>
      <c r="P28" s="109"/>
      <c r="Q28" s="128">
        <f t="shared" si="5"/>
        <v>43.52632</v>
      </c>
      <c r="R28" s="300">
        <v>11</v>
      </c>
      <c r="S28" s="300">
        <v>26.5</v>
      </c>
      <c r="T28" s="300"/>
      <c r="U28" s="300"/>
      <c r="V28" s="300">
        <v>3.85</v>
      </c>
      <c r="W28" s="300"/>
      <c r="X28" s="300">
        <v>2.17632</v>
      </c>
      <c r="Y28" s="302"/>
      <c r="Z28" s="128">
        <f t="shared" si="6"/>
        <v>43.52632</v>
      </c>
      <c r="AA28" s="300">
        <v>11</v>
      </c>
      <c r="AB28" s="300">
        <v>26.5</v>
      </c>
      <c r="AC28" s="300"/>
      <c r="AD28" s="300"/>
      <c r="AE28" s="300">
        <v>3.85</v>
      </c>
      <c r="AF28" s="300"/>
      <c r="AG28" s="300">
        <v>2.17632</v>
      </c>
      <c r="AH28" s="302"/>
    </row>
    <row r="29" spans="1:34" s="123" customFormat="1" ht="12" customHeight="1" hidden="1" outlineLevel="1">
      <c r="A29" s="10"/>
      <c r="B29" s="46"/>
      <c r="C29" s="122" t="s">
        <v>608</v>
      </c>
      <c r="D29" s="46"/>
      <c r="E29" s="121" t="s">
        <v>554</v>
      </c>
      <c r="F29" s="116">
        <v>45.3</v>
      </c>
      <c r="G29" s="81"/>
      <c r="H29" s="128">
        <f t="shared" si="4"/>
        <v>243.63158</v>
      </c>
      <c r="I29" s="260">
        <v>81</v>
      </c>
      <c r="J29" s="134">
        <v>109.8</v>
      </c>
      <c r="K29" s="134"/>
      <c r="L29" s="134">
        <v>30</v>
      </c>
      <c r="M29" s="134">
        <v>10.65</v>
      </c>
      <c r="N29" s="134"/>
      <c r="O29" s="134">
        <v>12.18158</v>
      </c>
      <c r="P29" s="109"/>
      <c r="Q29" s="128">
        <f t="shared" si="5"/>
        <v>156.31579</v>
      </c>
      <c r="R29" s="300">
        <v>93</v>
      </c>
      <c r="S29" s="300">
        <v>31.5</v>
      </c>
      <c r="T29" s="300"/>
      <c r="U29" s="300">
        <v>16.5</v>
      </c>
      <c r="V29" s="300">
        <v>7.5</v>
      </c>
      <c r="W29" s="300"/>
      <c r="X29" s="300">
        <v>7.81579</v>
      </c>
      <c r="Y29" s="302"/>
      <c r="Z29" s="128">
        <f t="shared" si="6"/>
        <v>156.31579</v>
      </c>
      <c r="AA29" s="300">
        <v>93</v>
      </c>
      <c r="AB29" s="300">
        <v>31.5</v>
      </c>
      <c r="AC29" s="300"/>
      <c r="AD29" s="300">
        <v>16.5</v>
      </c>
      <c r="AE29" s="300">
        <v>7.5</v>
      </c>
      <c r="AF29" s="300"/>
      <c r="AG29" s="300">
        <v>7.81579</v>
      </c>
      <c r="AH29" s="302"/>
    </row>
    <row r="30" spans="1:34" s="123" customFormat="1" ht="12" customHeight="1" hidden="1" outlineLevel="1">
      <c r="A30" s="10"/>
      <c r="B30" s="46"/>
      <c r="C30" s="122" t="s">
        <v>609</v>
      </c>
      <c r="D30" s="46"/>
      <c r="E30" s="121" t="s">
        <v>555</v>
      </c>
      <c r="F30" s="116">
        <v>15</v>
      </c>
      <c r="G30" s="81"/>
      <c r="H30" s="128">
        <f t="shared" si="4"/>
        <v>136</v>
      </c>
      <c r="I30" s="260">
        <v>6</v>
      </c>
      <c r="J30" s="134">
        <v>78.32</v>
      </c>
      <c r="K30" s="134"/>
      <c r="L30" s="134">
        <v>51.68</v>
      </c>
      <c r="M30" s="134"/>
      <c r="N30" s="134"/>
      <c r="O30" s="134"/>
      <c r="P30" s="109"/>
      <c r="Q30" s="128">
        <f t="shared" si="5"/>
        <v>136</v>
      </c>
      <c r="R30" s="300">
        <v>4</v>
      </c>
      <c r="S30" s="300">
        <v>78.32</v>
      </c>
      <c r="T30" s="300"/>
      <c r="U30" s="300">
        <v>51.68</v>
      </c>
      <c r="V30" s="300"/>
      <c r="W30" s="300"/>
      <c r="X30" s="300">
        <v>2</v>
      </c>
      <c r="Y30" s="302"/>
      <c r="Z30" s="128">
        <f t="shared" si="6"/>
        <v>136</v>
      </c>
      <c r="AA30" s="300">
        <v>4</v>
      </c>
      <c r="AB30" s="300">
        <v>78.32</v>
      </c>
      <c r="AC30" s="300"/>
      <c r="AD30" s="300">
        <v>51.68</v>
      </c>
      <c r="AE30" s="300"/>
      <c r="AF30" s="300"/>
      <c r="AG30" s="300">
        <v>2</v>
      </c>
      <c r="AH30" s="302"/>
    </row>
    <row r="31" spans="1:34" s="123" customFormat="1" ht="12" customHeight="1" hidden="1" outlineLevel="1">
      <c r="A31" s="10"/>
      <c r="B31" s="46"/>
      <c r="C31" s="122" t="s">
        <v>610</v>
      </c>
      <c r="D31" s="46"/>
      <c r="E31" s="121" t="s">
        <v>556</v>
      </c>
      <c r="F31" s="116">
        <v>9</v>
      </c>
      <c r="G31" s="81"/>
      <c r="H31" s="128">
        <f t="shared" si="4"/>
        <v>22</v>
      </c>
      <c r="I31" s="260">
        <v>1</v>
      </c>
      <c r="J31" s="134">
        <v>20</v>
      </c>
      <c r="K31" s="134"/>
      <c r="L31" s="134"/>
      <c r="M31" s="134"/>
      <c r="N31" s="134"/>
      <c r="O31" s="134">
        <v>1</v>
      </c>
      <c r="P31" s="109"/>
      <c r="Q31" s="128">
        <f t="shared" si="5"/>
        <v>41.22782</v>
      </c>
      <c r="R31" s="300">
        <v>2</v>
      </c>
      <c r="S31" s="300">
        <v>13.49871</v>
      </c>
      <c r="T31" s="300"/>
      <c r="U31" s="300">
        <v>24.72911</v>
      </c>
      <c r="V31" s="300"/>
      <c r="W31" s="300"/>
      <c r="X31" s="300">
        <v>1</v>
      </c>
      <c r="Y31" s="302"/>
      <c r="Z31" s="128">
        <f t="shared" si="6"/>
        <v>41.22782</v>
      </c>
      <c r="AA31" s="300">
        <v>2</v>
      </c>
      <c r="AB31" s="300">
        <v>13.49871</v>
      </c>
      <c r="AC31" s="300"/>
      <c r="AD31" s="300">
        <v>24.72911</v>
      </c>
      <c r="AE31" s="300"/>
      <c r="AF31" s="300"/>
      <c r="AG31" s="300">
        <v>1</v>
      </c>
      <c r="AH31" s="302"/>
    </row>
    <row r="32" spans="1:34" s="123" customFormat="1" ht="12" customHeight="1" hidden="1" outlineLevel="1">
      <c r="A32" s="10"/>
      <c r="B32" s="46"/>
      <c r="C32" s="122" t="s">
        <v>611</v>
      </c>
      <c r="D32" s="46"/>
      <c r="E32" s="121" t="s">
        <v>557</v>
      </c>
      <c r="F32" s="116">
        <v>9</v>
      </c>
      <c r="G32" s="81"/>
      <c r="H32" s="128">
        <f t="shared" si="4"/>
        <v>108</v>
      </c>
      <c r="I32" s="260">
        <v>5</v>
      </c>
      <c r="J32" s="134">
        <v>62</v>
      </c>
      <c r="K32" s="134">
        <v>20</v>
      </c>
      <c r="L32" s="134"/>
      <c r="M32" s="134">
        <v>15</v>
      </c>
      <c r="N32" s="134">
        <v>4</v>
      </c>
      <c r="O32" s="134">
        <v>2</v>
      </c>
      <c r="P32" s="109"/>
      <c r="Q32" s="128">
        <f t="shared" si="5"/>
        <v>0</v>
      </c>
      <c r="R32" s="300"/>
      <c r="S32" s="300"/>
      <c r="T32" s="300"/>
      <c r="U32" s="300"/>
      <c r="V32" s="300"/>
      <c r="W32" s="300"/>
      <c r="X32" s="300"/>
      <c r="Y32" s="302"/>
      <c r="Z32" s="128">
        <f t="shared" si="6"/>
        <v>0</v>
      </c>
      <c r="AA32" s="300"/>
      <c r="AB32" s="300"/>
      <c r="AC32" s="300"/>
      <c r="AD32" s="300"/>
      <c r="AE32" s="300"/>
      <c r="AF32" s="300"/>
      <c r="AG32" s="300"/>
      <c r="AH32" s="302"/>
    </row>
    <row r="33" spans="1:34" s="123" customFormat="1" ht="12" customHeight="1" hidden="1" outlineLevel="1">
      <c r="A33" s="10"/>
      <c r="B33" s="46"/>
      <c r="C33" s="122" t="s">
        <v>612</v>
      </c>
      <c r="D33" s="46"/>
      <c r="E33" s="121" t="s">
        <v>558</v>
      </c>
      <c r="F33" s="116">
        <v>11</v>
      </c>
      <c r="G33" s="81"/>
      <c r="H33" s="128">
        <f t="shared" si="4"/>
        <v>52</v>
      </c>
      <c r="I33" s="260">
        <v>19</v>
      </c>
      <c r="J33" s="134">
        <v>31</v>
      </c>
      <c r="K33" s="134"/>
      <c r="L33" s="134"/>
      <c r="M33" s="134"/>
      <c r="N33" s="134"/>
      <c r="O33" s="134">
        <v>2</v>
      </c>
      <c r="P33" s="109"/>
      <c r="Q33" s="128">
        <f t="shared" si="5"/>
        <v>46.28000000000001</v>
      </c>
      <c r="R33" s="300">
        <v>9.8</v>
      </c>
      <c r="S33" s="300">
        <v>32.99</v>
      </c>
      <c r="T33" s="300"/>
      <c r="U33" s="300"/>
      <c r="V33" s="300"/>
      <c r="W33" s="300"/>
      <c r="X33" s="300">
        <v>3.49</v>
      </c>
      <c r="Y33" s="302"/>
      <c r="Z33" s="128">
        <f t="shared" si="6"/>
        <v>46.28000000000001</v>
      </c>
      <c r="AA33" s="300">
        <v>9.8</v>
      </c>
      <c r="AB33" s="300">
        <v>32.99</v>
      </c>
      <c r="AC33" s="300"/>
      <c r="AD33" s="300"/>
      <c r="AE33" s="300"/>
      <c r="AF33" s="300"/>
      <c r="AG33" s="300">
        <v>3.49</v>
      </c>
      <c r="AH33" s="302"/>
    </row>
    <row r="34" spans="1:34" s="123" customFormat="1" ht="12" customHeight="1" hidden="1" outlineLevel="1">
      <c r="A34" s="10"/>
      <c r="B34" s="46"/>
      <c r="C34" s="122" t="s">
        <v>613</v>
      </c>
      <c r="D34" s="46"/>
      <c r="E34" s="121" t="s">
        <v>559</v>
      </c>
      <c r="F34" s="116">
        <v>14</v>
      </c>
      <c r="G34" s="81"/>
      <c r="H34" s="128">
        <f t="shared" si="4"/>
        <v>137.5</v>
      </c>
      <c r="I34" s="260">
        <v>41.2</v>
      </c>
      <c r="J34" s="134">
        <v>3.3</v>
      </c>
      <c r="K34" s="134"/>
      <c r="L34" s="134"/>
      <c r="M34" s="134">
        <v>85.5</v>
      </c>
      <c r="N34" s="134"/>
      <c r="O34" s="134">
        <v>7.5</v>
      </c>
      <c r="P34" s="109"/>
      <c r="Q34" s="128">
        <f t="shared" si="5"/>
        <v>109.689</v>
      </c>
      <c r="R34" s="300">
        <v>37</v>
      </c>
      <c r="S34" s="300">
        <v>6.38</v>
      </c>
      <c r="T34" s="300"/>
      <c r="U34" s="300"/>
      <c r="V34" s="300">
        <v>60</v>
      </c>
      <c r="W34" s="300"/>
      <c r="X34" s="300">
        <v>6.309</v>
      </c>
      <c r="Y34" s="301"/>
      <c r="Z34" s="128">
        <f t="shared" si="6"/>
        <v>109.689</v>
      </c>
      <c r="AA34" s="300">
        <v>37</v>
      </c>
      <c r="AB34" s="300">
        <v>6.38</v>
      </c>
      <c r="AC34" s="300"/>
      <c r="AD34" s="300"/>
      <c r="AE34" s="300">
        <v>60</v>
      </c>
      <c r="AF34" s="300"/>
      <c r="AG34" s="300">
        <v>6.309</v>
      </c>
      <c r="AH34" s="301"/>
    </row>
    <row r="35" spans="1:34" s="129" customFormat="1" ht="12" customHeight="1" hidden="1" outlineLevel="1">
      <c r="A35" s="98"/>
      <c r="B35" s="46"/>
      <c r="C35" s="96">
        <f>Z2*0.65</f>
        <v>2499.9438164999997</v>
      </c>
      <c r="D35" s="46"/>
      <c r="E35" s="81" t="s">
        <v>471</v>
      </c>
      <c r="F35" s="116"/>
      <c r="G35" s="81"/>
      <c r="H35" s="99">
        <f>H2/$H$2</f>
        <v>1</v>
      </c>
      <c r="I35" s="261">
        <f aca="true" t="shared" si="7" ref="I35:P35">I2/$H$2</f>
        <v>0.2268239127104446</v>
      </c>
      <c r="J35" s="99">
        <f t="shared" si="7"/>
        <v>0.3497804421248688</v>
      </c>
      <c r="K35" s="99">
        <f t="shared" si="7"/>
        <v>0.06239001884478521</v>
      </c>
      <c r="L35" s="99">
        <f t="shared" si="7"/>
        <v>0.09880019394497268</v>
      </c>
      <c r="M35" s="99">
        <f t="shared" si="7"/>
        <v>0.09705047386519106</v>
      </c>
      <c r="N35" s="99">
        <f t="shared" si="7"/>
        <v>0.13351863968802272</v>
      </c>
      <c r="O35" s="99">
        <f t="shared" si="7"/>
        <v>0.0316363188217149</v>
      </c>
      <c r="P35" s="99">
        <f t="shared" si="7"/>
        <v>0</v>
      </c>
      <c r="Q35" s="99">
        <f>Q2/$Q$2</f>
        <v>1</v>
      </c>
      <c r="R35" s="99">
        <f aca="true" t="shared" si="8" ref="R35:Y35">R2/$Q$2</f>
        <v>0.20828418085371</v>
      </c>
      <c r="S35" s="99">
        <f t="shared" si="8"/>
        <v>0.37400182749267</v>
      </c>
      <c r="T35" s="99">
        <f t="shared" si="8"/>
        <v>0.04937887971131531</v>
      </c>
      <c r="U35" s="99">
        <f t="shared" si="8"/>
        <v>0.13416271869244228</v>
      </c>
      <c r="V35" s="99">
        <f t="shared" si="8"/>
        <v>0.04634341289405534</v>
      </c>
      <c r="W35" s="99">
        <f t="shared" si="8"/>
        <v>0.15763238013553177</v>
      </c>
      <c r="X35" s="99">
        <f t="shared" si="8"/>
        <v>0.030196600220275396</v>
      </c>
      <c r="Y35" s="99">
        <f t="shared" si="8"/>
        <v>0</v>
      </c>
      <c r="Z35" s="99">
        <f>Z2/$Z$2</f>
        <v>1</v>
      </c>
      <c r="AA35" s="99">
        <f aca="true" t="shared" si="9" ref="AA35:AH35">AA2/$Z$2</f>
        <v>0.20828418085371</v>
      </c>
      <c r="AB35" s="99">
        <f t="shared" si="9"/>
        <v>0.37400182749267</v>
      </c>
      <c r="AC35" s="99">
        <f t="shared" si="9"/>
        <v>0.04937887971131531</v>
      </c>
      <c r="AD35" s="99">
        <f t="shared" si="9"/>
        <v>0.13416271869244228</v>
      </c>
      <c r="AE35" s="99">
        <f t="shared" si="9"/>
        <v>0.04634341289405534</v>
      </c>
      <c r="AF35" s="99">
        <f t="shared" si="9"/>
        <v>0.15763238013553177</v>
      </c>
      <c r="AG35" s="99">
        <f t="shared" si="9"/>
        <v>0.030196600220275396</v>
      </c>
      <c r="AH35" s="99">
        <f t="shared" si="9"/>
        <v>0</v>
      </c>
    </row>
    <row r="36" spans="1:34" s="129" customFormat="1" ht="12" customHeight="1" hidden="1" outlineLevel="1">
      <c r="A36" s="98"/>
      <c r="B36" s="46"/>
      <c r="C36" s="96">
        <f>Z2-C35</f>
        <v>1346.1235935</v>
      </c>
      <c r="D36" s="46"/>
      <c r="E36" s="81" t="s">
        <v>472</v>
      </c>
      <c r="F36" s="126"/>
      <c r="G36" s="81"/>
      <c r="H36" s="99"/>
      <c r="I36" s="261"/>
      <c r="J36" s="99"/>
      <c r="K36" s="99"/>
      <c r="L36" s="99"/>
      <c r="M36" s="99"/>
      <c r="N36" s="99"/>
      <c r="O36" s="99"/>
      <c r="P36" s="135"/>
      <c r="Q36" s="65">
        <f>Q2/1000-H2</f>
        <v>-4996.95383259</v>
      </c>
      <c r="R36" s="65">
        <f>R2/1000-I2</f>
        <v>-1133.499925</v>
      </c>
      <c r="S36" s="65">
        <f aca="true" t="shared" si="10" ref="S36:Y36">S2/1000-J2</f>
        <v>-1747.7435637599997</v>
      </c>
      <c r="T36" s="65">
        <f t="shared" si="10"/>
        <v>-311.8100855</v>
      </c>
      <c r="U36" s="65">
        <f t="shared" si="10"/>
        <v>-493.56400113999996</v>
      </c>
      <c r="V36" s="65">
        <f t="shared" si="10"/>
        <v>-485.15176011000005</v>
      </c>
      <c r="W36" s="65">
        <f t="shared" si="10"/>
        <v>-667.09373524</v>
      </c>
      <c r="X36" s="65">
        <f t="shared" si="10"/>
        <v>-158.09076184</v>
      </c>
      <c r="Y36" s="65">
        <f t="shared" si="10"/>
        <v>0</v>
      </c>
      <c r="Z36" s="65">
        <f>Z2-Q2</f>
        <v>0</v>
      </c>
      <c r="AA36" s="65">
        <f aca="true" t="shared" si="11" ref="AA36:AG36">AA2-R2</f>
        <v>0</v>
      </c>
      <c r="AB36" s="65">
        <f t="shared" si="11"/>
        <v>0</v>
      </c>
      <c r="AC36" s="65">
        <f t="shared" si="11"/>
        <v>0</v>
      </c>
      <c r="AD36" s="65">
        <f t="shared" si="11"/>
        <v>0</v>
      </c>
      <c r="AE36" s="65">
        <f t="shared" si="11"/>
        <v>0</v>
      </c>
      <c r="AF36" s="65">
        <f t="shared" si="11"/>
        <v>0</v>
      </c>
      <c r="AG36" s="65">
        <f t="shared" si="11"/>
        <v>0</v>
      </c>
      <c r="AH36" s="65">
        <f>AH2/1000-Y2</f>
        <v>0</v>
      </c>
    </row>
    <row r="37" spans="1:34" s="130" customFormat="1" ht="12" customHeight="1" hidden="1" outlineLevel="1">
      <c r="A37" s="10"/>
      <c r="B37" s="46"/>
      <c r="C37" s="46"/>
      <c r="D37" s="46"/>
      <c r="E37" s="43" t="s">
        <v>473</v>
      </c>
      <c r="F37" s="44"/>
      <c r="G37" s="43"/>
      <c r="H37" s="49"/>
      <c r="I37" s="262"/>
      <c r="J37" s="49"/>
      <c r="K37" s="49"/>
      <c r="L37" s="49"/>
      <c r="M37" s="49"/>
      <c r="N37" s="49"/>
      <c r="O37" s="49"/>
      <c r="P37" s="49"/>
      <c r="Q37" s="49"/>
      <c r="R37" s="49"/>
      <c r="S37" s="84"/>
      <c r="T37" s="49"/>
      <c r="U37" s="49"/>
      <c r="V37" s="49"/>
      <c r="W37" s="49"/>
      <c r="X37" s="49"/>
      <c r="Y37" s="136">
        <f>Q34/Q2</f>
        <v>0.0285197809364449</v>
      </c>
      <c r="Z37" s="90"/>
      <c r="AA37" s="90"/>
      <c r="AB37" s="90"/>
      <c r="AC37" s="90"/>
      <c r="AD37" s="90"/>
      <c r="AE37" s="90"/>
      <c r="AF37" s="90"/>
      <c r="AG37" s="90"/>
      <c r="AH37" s="90"/>
    </row>
    <row r="38" spans="1:133" s="56" customFormat="1" ht="12" customHeight="1" collapsed="1">
      <c r="A38" s="88">
        <v>4</v>
      </c>
      <c r="B38" s="106" t="s">
        <v>482</v>
      </c>
      <c r="C38" s="106" t="s">
        <v>525</v>
      </c>
      <c r="D38" s="106"/>
      <c r="E38" s="102"/>
      <c r="F38" s="115">
        <f>SUM(F39:F45)</f>
        <v>237.14</v>
      </c>
      <c r="G38" s="115">
        <f>SUM(G39:G45)</f>
        <v>232.64999999999998</v>
      </c>
      <c r="H38" s="111">
        <f aca="true" t="shared" si="12" ref="H38:AH38">SUM(H39:H45)</f>
        <v>1751.24</v>
      </c>
      <c r="I38" s="259">
        <f t="shared" si="12"/>
        <v>756.52</v>
      </c>
      <c r="J38" s="111">
        <f t="shared" si="12"/>
        <v>467.195</v>
      </c>
      <c r="K38" s="111">
        <f t="shared" si="12"/>
        <v>121.48</v>
      </c>
      <c r="L38" s="111">
        <f t="shared" si="12"/>
        <v>262.98</v>
      </c>
      <c r="M38" s="111">
        <f t="shared" si="12"/>
        <v>13</v>
      </c>
      <c r="N38" s="111">
        <f t="shared" si="12"/>
        <v>89.8</v>
      </c>
      <c r="O38" s="111">
        <f t="shared" si="12"/>
        <v>40.265</v>
      </c>
      <c r="P38" s="111">
        <f t="shared" si="12"/>
        <v>0</v>
      </c>
      <c r="Q38" s="111">
        <f t="shared" si="12"/>
        <v>1751.2399999999998</v>
      </c>
      <c r="R38" s="111">
        <f t="shared" si="12"/>
        <v>700.86</v>
      </c>
      <c r="S38" s="111">
        <f t="shared" si="12"/>
        <v>760.6</v>
      </c>
      <c r="T38" s="111">
        <f t="shared" si="12"/>
        <v>0</v>
      </c>
      <c r="U38" s="111">
        <f t="shared" si="12"/>
        <v>85</v>
      </c>
      <c r="V38" s="111">
        <f t="shared" si="12"/>
        <v>0</v>
      </c>
      <c r="W38" s="111">
        <f t="shared" si="12"/>
        <v>85</v>
      </c>
      <c r="X38" s="111">
        <f t="shared" si="12"/>
        <v>119.78</v>
      </c>
      <c r="Y38" s="111">
        <f t="shared" si="12"/>
        <v>0</v>
      </c>
      <c r="Z38" s="160">
        <f t="shared" si="12"/>
        <v>1730.56</v>
      </c>
      <c r="AA38" s="89">
        <f t="shared" si="12"/>
        <v>670.36</v>
      </c>
      <c r="AB38" s="89">
        <f t="shared" si="12"/>
        <v>760.6</v>
      </c>
      <c r="AC38" s="89">
        <f t="shared" si="12"/>
        <v>0</v>
      </c>
      <c r="AD38" s="89">
        <f t="shared" si="12"/>
        <v>85</v>
      </c>
      <c r="AE38" s="89">
        <f t="shared" si="12"/>
        <v>0</v>
      </c>
      <c r="AF38" s="89">
        <f t="shared" si="12"/>
        <v>60</v>
      </c>
      <c r="AG38" s="89">
        <f t="shared" si="12"/>
        <v>86.5</v>
      </c>
      <c r="AH38" s="89">
        <f t="shared" si="12"/>
        <v>68.1</v>
      </c>
      <c r="AI38" s="653">
        <f>SUM(AJ38:AQ38)</f>
        <v>1754.4572166666667</v>
      </c>
      <c r="AJ38" s="653">
        <f>SUM(AJ39:AJ45)</f>
        <v>813.7417500000001</v>
      </c>
      <c r="AK38" s="653">
        <f>SUM(AK39:AK45)/1.2</f>
        <v>683.4612249999999</v>
      </c>
      <c r="AL38" s="653">
        <f>SUM(AL39:AL45)</f>
        <v>0</v>
      </c>
      <c r="AM38" s="653">
        <f>SUM(AM39:AM45)/1.2</f>
        <v>97.58157500000002</v>
      </c>
      <c r="AN38" s="653">
        <f>SUM(AN39:AN45)/1.2</f>
        <v>7.25</v>
      </c>
      <c r="AO38" s="653">
        <f>SUM(AO39:AO45)/1.2</f>
        <v>71.48175</v>
      </c>
      <c r="AP38" s="653">
        <f>SUM(AP39:AP45)/1.2</f>
        <v>80.94091666666668</v>
      </c>
      <c r="AQ38" s="52"/>
      <c r="AR38" s="653">
        <f>SUM(AR39:AR45)</f>
        <v>1730560.0000000002</v>
      </c>
      <c r="AS38" s="653">
        <f>SUM(AS39:AS45)</f>
        <v>808741.7647863682</v>
      </c>
      <c r="AT38" s="653">
        <f aca="true" t="shared" si="13" ref="AT38:AY38">SUM(AT39:AT45)</f>
        <v>659245.9950265378</v>
      </c>
      <c r="AU38" s="653">
        <f t="shared" si="13"/>
        <v>0</v>
      </c>
      <c r="AV38" s="653">
        <f t="shared" si="13"/>
        <v>95203.80344837657</v>
      </c>
      <c r="AW38" s="653">
        <f t="shared" si="13"/>
        <v>7073.339756457384</v>
      </c>
      <c r="AX38" s="653">
        <f t="shared" si="13"/>
        <v>73805.09698226023</v>
      </c>
      <c r="AY38" s="653">
        <f t="shared" si="13"/>
        <v>86490</v>
      </c>
      <c r="AZ38" s="11"/>
      <c r="BA38" s="1159">
        <f>SUM(BB38:BH38)</f>
        <v>1738490.8900000001</v>
      </c>
      <c r="BB38" s="1159">
        <v>970490.11</v>
      </c>
      <c r="BC38" s="1159">
        <v>425166.67</v>
      </c>
      <c r="BD38" s="1159">
        <v>348</v>
      </c>
      <c r="BE38" s="1157">
        <v>142529.58</v>
      </c>
      <c r="BF38" s="1158">
        <v>2416.8</v>
      </c>
      <c r="BG38" s="1160">
        <v>50516.88</v>
      </c>
      <c r="BH38" s="1158">
        <v>147022.85</v>
      </c>
      <c r="BI38" s="57"/>
      <c r="BJ38" s="60"/>
      <c r="BK38" s="59"/>
      <c r="BL38" s="93"/>
      <c r="BM38" s="61"/>
      <c r="BN38" s="61"/>
      <c r="BO38" s="59"/>
      <c r="BP38" s="18"/>
      <c r="BQ38" s="39"/>
      <c r="BR38" s="12"/>
      <c r="BS38" s="12"/>
      <c r="BT38" s="32"/>
      <c r="BU38" s="14"/>
      <c r="BV38" s="28"/>
      <c r="BW38" s="28"/>
      <c r="BX38" s="14"/>
      <c r="BY38" s="29"/>
      <c r="BZ38" s="14"/>
      <c r="CA38" s="16"/>
      <c r="CB38" s="31"/>
      <c r="CC38" s="13"/>
      <c r="CD38" s="28"/>
      <c r="CE38" s="13"/>
      <c r="CF38" s="17"/>
      <c r="CG38" s="5"/>
      <c r="CH38" s="22"/>
      <c r="CI38" s="22"/>
      <c r="CJ38" s="22"/>
      <c r="CK38" s="22"/>
      <c r="CL38" s="22"/>
      <c r="CM38" s="22"/>
      <c r="CN38" s="14"/>
      <c r="CO38" s="22"/>
      <c r="CP38" s="22"/>
      <c r="CQ38" s="22"/>
      <c r="CR38" s="22"/>
      <c r="CS38" s="22"/>
      <c r="CT38" s="22"/>
      <c r="CU38" s="30"/>
      <c r="CV38" s="22"/>
      <c r="CW38" s="22"/>
      <c r="CX38" s="22"/>
      <c r="CY38" s="22"/>
      <c r="CZ38" s="22"/>
      <c r="DA38" s="22"/>
      <c r="DB38" s="22"/>
      <c r="DC38" s="35"/>
      <c r="DD38" s="37"/>
      <c r="DE38" s="22"/>
      <c r="DF38" s="5"/>
      <c r="DG38" s="36"/>
      <c r="DH38" s="22"/>
      <c r="DI38" s="14"/>
      <c r="DJ38" s="14"/>
      <c r="DK38" s="23"/>
      <c r="DL38" s="19"/>
      <c r="DM38" s="19"/>
      <c r="DN38" s="15"/>
      <c r="DO38" s="131"/>
      <c r="DQ38" s="74"/>
      <c r="DR38" s="94"/>
      <c r="DS38" s="132"/>
      <c r="DT38" s="75"/>
      <c r="DU38" s="94"/>
      <c r="DV38" s="133"/>
      <c r="DW38" s="94"/>
      <c r="DX38" s="62"/>
      <c r="DZ38" s="75"/>
      <c r="EC38" s="62"/>
    </row>
    <row r="39" spans="1:51" s="130" customFormat="1" ht="12" customHeight="1" hidden="1" outlineLevel="1">
      <c r="A39" s="10"/>
      <c r="B39" s="46"/>
      <c r="C39" s="162" t="s">
        <v>653</v>
      </c>
      <c r="D39" s="107"/>
      <c r="E39" s="81">
        <v>1</v>
      </c>
      <c r="F39" s="168">
        <v>37.3</v>
      </c>
      <c r="G39" s="168">
        <v>49.5</v>
      </c>
      <c r="H39" s="80">
        <f>SUM(I39:P39)</f>
        <v>191.99</v>
      </c>
      <c r="I39" s="263">
        <v>120.99</v>
      </c>
      <c r="J39" s="108">
        <v>71</v>
      </c>
      <c r="K39" s="108"/>
      <c r="L39" s="108"/>
      <c r="M39" s="108"/>
      <c r="N39" s="108"/>
      <c r="O39" s="109"/>
      <c r="P39" s="109"/>
      <c r="Q39" s="112">
        <f>SUM(R39:X39)</f>
        <v>278.1</v>
      </c>
      <c r="R39" s="108">
        <v>278.1</v>
      </c>
      <c r="S39" s="108"/>
      <c r="T39" s="108"/>
      <c r="U39" s="108"/>
      <c r="V39" s="108"/>
      <c r="W39" s="108"/>
      <c r="X39" s="109"/>
      <c r="Y39" s="109"/>
      <c r="Z39" s="80">
        <f>SUM(AA39:AH39)</f>
        <v>278.1</v>
      </c>
      <c r="AA39" s="52">
        <v>278.1</v>
      </c>
      <c r="AB39" s="48"/>
      <c r="AC39" s="48"/>
      <c r="AD39" s="48"/>
      <c r="AE39" s="48"/>
      <c r="AF39" s="48"/>
      <c r="AG39" s="83"/>
      <c r="AH39" s="83"/>
      <c r="AI39" s="685">
        <f>SUM(AJ39:AQ39)</f>
        <v>279.26754999999997</v>
      </c>
      <c r="AJ39" s="233">
        <v>185.71401</v>
      </c>
      <c r="AK39" s="233">
        <v>61.6007</v>
      </c>
      <c r="AL39" s="233"/>
      <c r="AM39" s="233"/>
      <c r="AN39" s="233"/>
      <c r="AO39" s="233"/>
      <c r="AP39" s="233">
        <v>31.95284</v>
      </c>
      <c r="AR39" s="687">
        <f>SUM(AS39:AY39)</f>
        <v>293404.6869919326</v>
      </c>
      <c r="AS39" s="686">
        <v>184572.9</v>
      </c>
      <c r="AT39" s="686">
        <v>80365.76283005823</v>
      </c>
      <c r="AU39" s="686"/>
      <c r="AV39" s="686"/>
      <c r="AW39" s="686"/>
      <c r="AX39" s="686"/>
      <c r="AY39" s="686">
        <f>(26627.3657187361*(1-0.0243669301438091))*1.09575156038639</f>
        <v>28466.02416187437</v>
      </c>
    </row>
    <row r="40" spans="1:51" s="130" customFormat="1" ht="12" customHeight="1" hidden="1" outlineLevel="1">
      <c r="A40" s="10"/>
      <c r="B40" s="46"/>
      <c r="C40" s="163" t="s">
        <v>654</v>
      </c>
      <c r="D40" s="100"/>
      <c r="E40" s="81">
        <v>2</v>
      </c>
      <c r="F40" s="168">
        <v>23.3</v>
      </c>
      <c r="G40" s="168">
        <v>23.63</v>
      </c>
      <c r="H40" s="80">
        <f aca="true" t="shared" si="14" ref="H40:H45">SUM(I40:P40)</f>
        <v>156.29999999999998</v>
      </c>
      <c r="I40" s="262">
        <v>81.85</v>
      </c>
      <c r="J40" s="108">
        <v>53.26</v>
      </c>
      <c r="K40" s="108"/>
      <c r="L40" s="108"/>
      <c r="M40" s="108">
        <v>6.5</v>
      </c>
      <c r="N40" s="108">
        <v>12</v>
      </c>
      <c r="O40" s="109">
        <v>2.69</v>
      </c>
      <c r="P40" s="109"/>
      <c r="Q40" s="112">
        <f aca="true" t="shared" si="15" ref="Q40:Q45">SUM(R40:X40)</f>
        <v>156.3</v>
      </c>
      <c r="R40" s="108">
        <v>111.3</v>
      </c>
      <c r="S40" s="108">
        <v>45</v>
      </c>
      <c r="T40" s="108"/>
      <c r="U40" s="108"/>
      <c r="V40" s="108"/>
      <c r="W40" s="108"/>
      <c r="X40" s="109"/>
      <c r="Y40" s="109"/>
      <c r="Z40" s="80">
        <f aca="true" t="shared" si="16" ref="Z40:Z45">SUM(AA40:AH40)</f>
        <v>156.3</v>
      </c>
      <c r="AA40" s="52">
        <v>111.3</v>
      </c>
      <c r="AB40" s="48">
        <v>45</v>
      </c>
      <c r="AC40" s="48"/>
      <c r="AD40" s="48"/>
      <c r="AE40" s="48"/>
      <c r="AF40" s="48"/>
      <c r="AG40" s="83"/>
      <c r="AH40" s="101"/>
      <c r="AI40" s="685">
        <f aca="true" t="shared" si="17" ref="AI40:AI45">SUM(AJ40:AQ40)</f>
        <v>178.25229000000002</v>
      </c>
      <c r="AJ40" s="233">
        <v>103.19164</v>
      </c>
      <c r="AK40" s="233">
        <v>64.00821</v>
      </c>
      <c r="AL40" s="233"/>
      <c r="AM40" s="233"/>
      <c r="AN40" s="233">
        <v>2.725</v>
      </c>
      <c r="AO40" s="233"/>
      <c r="AP40" s="233">
        <v>8.32744</v>
      </c>
      <c r="AR40" s="687">
        <f aca="true" t="shared" si="18" ref="AR40:AR45">SUM(AS40:AY40)</f>
        <v>174933.86255405034</v>
      </c>
      <c r="AS40" s="686">
        <v>102557.59</v>
      </c>
      <c r="AT40" s="686">
        <v>62742.05668158383</v>
      </c>
      <c r="AU40" s="686"/>
      <c r="AV40" s="686"/>
      <c r="AW40" s="686">
        <f>2270.83333333333*(1-0.0243669301438091)</f>
        <v>2215.500096131767</v>
      </c>
      <c r="AX40" s="686"/>
      <c r="AY40" s="686">
        <f>(6939.53103589354*(1-0.0243669301438091))*1.09575156038639</f>
        <v>7418.7157763347495</v>
      </c>
    </row>
    <row r="41" spans="1:51" s="130" customFormat="1" ht="12" customHeight="1" hidden="1" outlineLevel="1">
      <c r="A41" s="10"/>
      <c r="B41" s="46"/>
      <c r="C41" s="139">
        <f>Z38*0.65</f>
        <v>1124.864</v>
      </c>
      <c r="D41" s="96"/>
      <c r="E41" s="81">
        <v>3</v>
      </c>
      <c r="F41" s="168">
        <v>93.1</v>
      </c>
      <c r="G41" s="168">
        <v>96.5</v>
      </c>
      <c r="H41" s="80">
        <f t="shared" si="14"/>
        <v>756.3</v>
      </c>
      <c r="I41" s="262">
        <v>293.5</v>
      </c>
      <c r="J41" s="108">
        <v>121.365</v>
      </c>
      <c r="K41" s="108">
        <v>121.48</v>
      </c>
      <c r="L41" s="108">
        <v>118.75</v>
      </c>
      <c r="M41" s="108">
        <v>6.5</v>
      </c>
      <c r="N41" s="108">
        <v>77.8</v>
      </c>
      <c r="O41" s="109">
        <v>16.905</v>
      </c>
      <c r="P41" s="109"/>
      <c r="Q41" s="112">
        <f t="shared" si="15"/>
        <v>756.1</v>
      </c>
      <c r="R41" s="108">
        <v>166</v>
      </c>
      <c r="S41" s="108">
        <v>420.1</v>
      </c>
      <c r="T41" s="108"/>
      <c r="U41" s="108">
        <v>85</v>
      </c>
      <c r="V41" s="108"/>
      <c r="W41" s="108">
        <v>60</v>
      </c>
      <c r="X41" s="109">
        <v>25</v>
      </c>
      <c r="Y41" s="109"/>
      <c r="Z41" s="80">
        <f t="shared" si="16"/>
        <v>751.1</v>
      </c>
      <c r="AA41" s="52">
        <v>166</v>
      </c>
      <c r="AB41" s="48">
        <v>420.1</v>
      </c>
      <c r="AC41" s="48"/>
      <c r="AD41" s="48">
        <v>85</v>
      </c>
      <c r="AE41" s="48"/>
      <c r="AF41" s="48">
        <v>60</v>
      </c>
      <c r="AG41" s="101">
        <v>20</v>
      </c>
      <c r="AH41" s="83"/>
      <c r="AI41" s="685">
        <f t="shared" si="17"/>
        <v>844.79442</v>
      </c>
      <c r="AJ41" s="233">
        <v>292.9475</v>
      </c>
      <c r="AK41" s="233">
        <v>330.06467</v>
      </c>
      <c r="AL41" s="233"/>
      <c r="AM41" s="233">
        <v>117.09789</v>
      </c>
      <c r="AN41" s="233">
        <v>0.725</v>
      </c>
      <c r="AO41" s="233">
        <v>85.7781</v>
      </c>
      <c r="AP41" s="233">
        <v>18.18126</v>
      </c>
      <c r="AR41" s="687">
        <f t="shared" si="18"/>
        <v>583938.5664151668</v>
      </c>
      <c r="AS41" s="686">
        <v>291147.504503127</v>
      </c>
      <c r="AT41" s="686">
        <v>107035.46047219519</v>
      </c>
      <c r="AU41" s="686"/>
      <c r="AV41" s="686">
        <f>97581.5666666667*(1-0.0243669301438091)</f>
        <v>95203.80344837657</v>
      </c>
      <c r="AW41" s="686">
        <f>604.166666666667*(1-0.0243669301438091)</f>
        <v>589.4449797047821</v>
      </c>
      <c r="AX41" s="686">
        <f>75648.4166666667*(1-0.0243669301438091)</f>
        <v>73805.09698226023</v>
      </c>
      <c r="AY41" s="686">
        <f>(15151.0536731443*(1-0.0243669301438091))*1.09575156038639-40</f>
        <v>16157.256029503063</v>
      </c>
    </row>
    <row r="42" spans="1:51" s="130" customFormat="1" ht="12" customHeight="1" hidden="1" outlineLevel="1">
      <c r="A42" s="10"/>
      <c r="B42" s="46"/>
      <c r="C42" s="140">
        <f>Z38-C41</f>
        <v>605.6959999999999</v>
      </c>
      <c r="D42" s="96"/>
      <c r="E42" s="81">
        <v>4</v>
      </c>
      <c r="F42" s="168">
        <v>52</v>
      </c>
      <c r="G42" s="168">
        <v>50.22</v>
      </c>
      <c r="H42" s="80">
        <f t="shared" si="14"/>
        <v>331.75</v>
      </c>
      <c r="I42" s="262">
        <v>58.75</v>
      </c>
      <c r="J42" s="108">
        <v>128.77</v>
      </c>
      <c r="K42" s="108"/>
      <c r="L42" s="108">
        <v>144.23</v>
      </c>
      <c r="M42" s="108"/>
      <c r="N42" s="108"/>
      <c r="O42" s="109"/>
      <c r="P42" s="109"/>
      <c r="Q42" s="112">
        <f t="shared" si="15"/>
        <v>397.76</v>
      </c>
      <c r="R42" s="108">
        <v>110.16</v>
      </c>
      <c r="S42" s="108">
        <v>262.6</v>
      </c>
      <c r="T42" s="108"/>
      <c r="U42" s="108"/>
      <c r="V42" s="108"/>
      <c r="W42" s="108"/>
      <c r="X42" s="109">
        <v>25</v>
      </c>
      <c r="Y42" s="109"/>
      <c r="Z42" s="80">
        <f t="shared" si="16"/>
        <v>392.76</v>
      </c>
      <c r="AA42" s="52">
        <v>110.16</v>
      </c>
      <c r="AB42" s="48">
        <v>262.6</v>
      </c>
      <c r="AC42" s="48"/>
      <c r="AD42" s="48"/>
      <c r="AE42" s="48"/>
      <c r="AF42" s="48"/>
      <c r="AG42" s="170">
        <v>20</v>
      </c>
      <c r="AH42" s="83"/>
      <c r="AI42" s="685">
        <f t="shared" si="17"/>
        <v>413.56229</v>
      </c>
      <c r="AJ42" s="233">
        <v>148.16312</v>
      </c>
      <c r="AK42" s="233">
        <v>247.60165</v>
      </c>
      <c r="AL42" s="233"/>
      <c r="AM42" s="233"/>
      <c r="AN42" s="233">
        <v>0.725</v>
      </c>
      <c r="AO42" s="233"/>
      <c r="AP42" s="233">
        <v>17.07252</v>
      </c>
      <c r="AR42" s="687">
        <f t="shared" si="18"/>
        <v>449469.20594527735</v>
      </c>
      <c r="AS42" s="686">
        <v>147252.74</v>
      </c>
      <c r="AT42" s="686">
        <v>286417.5201321303</v>
      </c>
      <c r="AU42" s="686"/>
      <c r="AV42" s="686"/>
      <c r="AW42" s="686">
        <f>604.166666666667*(1-0.0243669301438091)</f>
        <v>589.4449797047821</v>
      </c>
      <c r="AX42" s="686"/>
      <c r="AY42" s="686">
        <f>(14227.0989017815*(1-0.0243669301438091))*1.09575156038639</f>
        <v>15209.500833442284</v>
      </c>
    </row>
    <row r="43" spans="1:51" s="130" customFormat="1" ht="12" customHeight="1" hidden="1" outlineLevel="1">
      <c r="A43" s="10"/>
      <c r="B43" s="46"/>
      <c r="C43" s="162" t="s">
        <v>655</v>
      </c>
      <c r="D43" s="46"/>
      <c r="E43" s="81">
        <v>5</v>
      </c>
      <c r="F43" s="168">
        <v>17.75</v>
      </c>
      <c r="G43" s="168">
        <v>6.1</v>
      </c>
      <c r="H43" s="80">
        <f t="shared" si="14"/>
        <v>207.5</v>
      </c>
      <c r="I43" s="262">
        <v>151.93</v>
      </c>
      <c r="J43" s="108">
        <v>55</v>
      </c>
      <c r="K43" s="108"/>
      <c r="L43" s="108"/>
      <c r="M43" s="108"/>
      <c r="N43" s="108"/>
      <c r="O43" s="109">
        <v>0.57</v>
      </c>
      <c r="P43" s="109"/>
      <c r="Q43" s="169">
        <f t="shared" si="15"/>
        <v>68.1</v>
      </c>
      <c r="R43" s="108">
        <v>30.5</v>
      </c>
      <c r="S43" s="108"/>
      <c r="T43" s="108"/>
      <c r="U43" s="108"/>
      <c r="V43" s="108"/>
      <c r="W43" s="108">
        <v>25</v>
      </c>
      <c r="X43" s="109">
        <v>12.6</v>
      </c>
      <c r="Y43" s="109"/>
      <c r="Z43" s="80">
        <f t="shared" si="16"/>
        <v>68.1</v>
      </c>
      <c r="AA43" s="52"/>
      <c r="AB43" s="48"/>
      <c r="AC43" s="48"/>
      <c r="AD43" s="48"/>
      <c r="AE43" s="48"/>
      <c r="AF43" s="48"/>
      <c r="AG43" s="101"/>
      <c r="AH43" s="167">
        <v>68.1</v>
      </c>
      <c r="AI43" s="685">
        <f t="shared" si="17"/>
        <v>98.25611</v>
      </c>
      <c r="AJ43" s="233">
        <v>42.8802</v>
      </c>
      <c r="AK43" s="233">
        <v>44.01091</v>
      </c>
      <c r="AL43" s="233"/>
      <c r="AM43" s="233"/>
      <c r="AN43" s="233">
        <v>4.525</v>
      </c>
      <c r="AO43" s="233"/>
      <c r="AP43" s="233">
        <v>6.84</v>
      </c>
      <c r="AR43" s="687">
        <f t="shared" si="18"/>
        <v>105938.52166630297</v>
      </c>
      <c r="AS43" s="686">
        <v>42616.7250450636</v>
      </c>
      <c r="AT43" s="686">
        <v>53549.253605964266</v>
      </c>
      <c r="AU43" s="686"/>
      <c r="AV43" s="686"/>
      <c r="AW43" s="686">
        <f>3770.83333333333*(1-0.0243669301438091)</f>
        <v>3678.949700916053</v>
      </c>
      <c r="AX43" s="686"/>
      <c r="AY43" s="686">
        <f>(5700*(1-0.0243669301438091))*1.09575156038639</f>
        <v>6093.593314359055</v>
      </c>
    </row>
    <row r="44" spans="1:51" s="130" customFormat="1" ht="12" customHeight="1" hidden="1" outlineLevel="1">
      <c r="A44" s="10"/>
      <c r="B44" s="46"/>
      <c r="C44" s="164" t="s">
        <v>656</v>
      </c>
      <c r="D44" s="105"/>
      <c r="E44" s="81">
        <v>6</v>
      </c>
      <c r="F44" s="168">
        <v>10.49</v>
      </c>
      <c r="G44" s="168">
        <v>3.5</v>
      </c>
      <c r="H44" s="80">
        <f t="shared" si="14"/>
        <v>55.2</v>
      </c>
      <c r="I44" s="262">
        <v>39.35</v>
      </c>
      <c r="J44" s="108">
        <v>12</v>
      </c>
      <c r="K44" s="108"/>
      <c r="L44" s="108"/>
      <c r="M44" s="108"/>
      <c r="N44" s="108"/>
      <c r="O44" s="109">
        <v>3.85</v>
      </c>
      <c r="P44" s="109"/>
      <c r="Q44" s="112">
        <f t="shared" si="15"/>
        <v>42.5</v>
      </c>
      <c r="R44" s="108">
        <v>0</v>
      </c>
      <c r="S44" s="108">
        <v>17.5</v>
      </c>
      <c r="T44" s="108"/>
      <c r="U44" s="108"/>
      <c r="V44" s="108"/>
      <c r="W44" s="108"/>
      <c r="X44" s="109">
        <v>25</v>
      </c>
      <c r="Y44" s="109"/>
      <c r="Z44" s="80">
        <f t="shared" si="16"/>
        <v>37.5</v>
      </c>
      <c r="AA44" s="52"/>
      <c r="AB44" s="48">
        <v>17.5</v>
      </c>
      <c r="AC44" s="48"/>
      <c r="AD44" s="48"/>
      <c r="AE44" s="48"/>
      <c r="AF44" s="48"/>
      <c r="AG44" s="101">
        <v>20</v>
      </c>
      <c r="AH44" s="83"/>
      <c r="AI44" s="685">
        <f t="shared" si="17"/>
        <v>67.41001</v>
      </c>
      <c r="AJ44" s="233">
        <v>27.53622</v>
      </c>
      <c r="AK44" s="233">
        <v>33.05157</v>
      </c>
      <c r="AL44" s="233"/>
      <c r="AM44" s="233"/>
      <c r="AN44" s="233"/>
      <c r="AO44" s="233"/>
      <c r="AP44" s="233">
        <v>6.82222</v>
      </c>
      <c r="AR44" s="687">
        <f t="shared" si="18"/>
        <v>60155.34277590138</v>
      </c>
      <c r="AS44" s="686">
        <v>27367.024939667746</v>
      </c>
      <c r="AT44" s="686">
        <v>26710.566893849133</v>
      </c>
      <c r="AU44" s="686"/>
      <c r="AV44" s="686"/>
      <c r="AW44" s="686"/>
      <c r="AX44" s="686"/>
      <c r="AY44" s="686">
        <f>(5685.18090794766*(1-0.0243669301438091))*1.09575156038639</f>
        <v>6077.750942384497</v>
      </c>
    </row>
    <row r="45" spans="1:51" s="130" customFormat="1" ht="12" customHeight="1" hidden="1" outlineLevel="1">
      <c r="A45" s="10"/>
      <c r="B45" s="46"/>
      <c r="C45" s="162" t="s">
        <v>657</v>
      </c>
      <c r="D45" s="46"/>
      <c r="E45" s="81">
        <v>7</v>
      </c>
      <c r="F45" s="168">
        <v>3.2</v>
      </c>
      <c r="G45" s="168">
        <v>3.2</v>
      </c>
      <c r="H45" s="80">
        <f t="shared" si="14"/>
        <v>52.2</v>
      </c>
      <c r="I45" s="262">
        <v>10.15</v>
      </c>
      <c r="J45" s="108">
        <v>25.8</v>
      </c>
      <c r="K45" s="108"/>
      <c r="L45" s="108"/>
      <c r="M45" s="108"/>
      <c r="N45" s="108"/>
      <c r="O45" s="109">
        <v>16.25</v>
      </c>
      <c r="P45" s="109"/>
      <c r="Q45" s="112">
        <f t="shared" si="15"/>
        <v>52.379999999999995</v>
      </c>
      <c r="R45" s="108">
        <v>4.8</v>
      </c>
      <c r="S45" s="108">
        <v>15.4</v>
      </c>
      <c r="T45" s="108"/>
      <c r="U45" s="108"/>
      <c r="V45" s="108"/>
      <c r="W45" s="108"/>
      <c r="X45" s="109">
        <v>32.18</v>
      </c>
      <c r="Y45" s="109"/>
      <c r="Z45" s="80">
        <f t="shared" si="16"/>
        <v>46.7</v>
      </c>
      <c r="AA45" s="52">
        <v>4.8</v>
      </c>
      <c r="AB45" s="48">
        <v>15.4</v>
      </c>
      <c r="AC45" s="48"/>
      <c r="AD45" s="48"/>
      <c r="AE45" s="48"/>
      <c r="AF45" s="48"/>
      <c r="AG45" s="170">
        <v>26.5</v>
      </c>
      <c r="AH45" s="83"/>
      <c r="AI45" s="685">
        <f t="shared" si="17"/>
        <v>61.05764</v>
      </c>
      <c r="AJ45" s="233">
        <v>13.30906</v>
      </c>
      <c r="AK45" s="233">
        <v>39.81576</v>
      </c>
      <c r="AL45" s="233"/>
      <c r="AM45" s="233"/>
      <c r="AN45" s="233"/>
      <c r="AO45" s="233"/>
      <c r="AP45" s="233">
        <v>7.93282</v>
      </c>
      <c r="AR45" s="687">
        <f t="shared" si="18"/>
        <v>62719.81365136868</v>
      </c>
      <c r="AS45" s="686">
        <v>13227.2802985099</v>
      </c>
      <c r="AT45" s="686">
        <v>42425.37441075679</v>
      </c>
      <c r="AU45" s="686"/>
      <c r="AV45" s="686"/>
      <c r="AW45" s="686"/>
      <c r="AX45" s="686"/>
      <c r="AY45" s="686">
        <f>(6610.68172617595*(1-0.0243669301438091))*1.09575156038639</f>
        <v>7067.15894210199</v>
      </c>
    </row>
    <row r="46" spans="1:51" s="129" customFormat="1" ht="12" customHeight="1" hidden="1" outlineLevel="1">
      <c r="A46" s="98"/>
      <c r="B46" s="46"/>
      <c r="C46" s="46"/>
      <c r="D46" s="46"/>
      <c r="E46" s="81" t="s">
        <v>471</v>
      </c>
      <c r="F46" s="126"/>
      <c r="G46" s="81"/>
      <c r="H46" s="99">
        <f>H38/$H$38</f>
        <v>1</v>
      </c>
      <c r="I46" s="261">
        <f aca="true" t="shared" si="19" ref="I46:P46">I38/$H$38</f>
        <v>0.4319910463443046</v>
      </c>
      <c r="J46" s="99">
        <f t="shared" si="19"/>
        <v>0.26677953906945934</v>
      </c>
      <c r="K46" s="99">
        <f t="shared" si="19"/>
        <v>0.06936799068088897</v>
      </c>
      <c r="L46" s="99">
        <f t="shared" si="19"/>
        <v>0.15016788104428863</v>
      </c>
      <c r="M46" s="99">
        <f t="shared" si="19"/>
        <v>0.007423311482149791</v>
      </c>
      <c r="N46" s="99">
        <f t="shared" si="19"/>
        <v>0.05127795162285009</v>
      </c>
      <c r="O46" s="99">
        <f t="shared" si="19"/>
        <v>0.022992279756058564</v>
      </c>
      <c r="P46" s="99">
        <f t="shared" si="19"/>
        <v>0</v>
      </c>
      <c r="Q46" s="99">
        <f aca="true" t="shared" si="20" ref="Q46:Y46">Q38/$Q$38</f>
        <v>1</v>
      </c>
      <c r="R46" s="166">
        <f t="shared" si="20"/>
        <v>0.4002078527215003</v>
      </c>
      <c r="S46" s="166">
        <f t="shared" si="20"/>
        <v>0.43432082410177936</v>
      </c>
      <c r="T46" s="99">
        <f t="shared" si="20"/>
        <v>0</v>
      </c>
      <c r="U46" s="99">
        <f t="shared" si="20"/>
        <v>0.04853703661405633</v>
      </c>
      <c r="V46" s="99">
        <f t="shared" si="20"/>
        <v>0</v>
      </c>
      <c r="W46" s="99">
        <f t="shared" si="20"/>
        <v>0.04853703661405633</v>
      </c>
      <c r="X46" s="99">
        <f t="shared" si="20"/>
        <v>0.06839724994860785</v>
      </c>
      <c r="Y46" s="99">
        <f t="shared" si="20"/>
        <v>0</v>
      </c>
      <c r="Z46" s="99">
        <f>Z38/$Z$38</f>
        <v>1</v>
      </c>
      <c r="AA46" s="99">
        <f aca="true" t="shared" si="21" ref="AA46:AH46">AA38/$Z$38</f>
        <v>0.38736593934911245</v>
      </c>
      <c r="AB46" s="99">
        <f t="shared" si="21"/>
        <v>0.43951090976331364</v>
      </c>
      <c r="AC46" s="99">
        <f t="shared" si="21"/>
        <v>0</v>
      </c>
      <c r="AD46" s="99">
        <f t="shared" si="21"/>
        <v>0.049117048816568046</v>
      </c>
      <c r="AE46" s="99">
        <f t="shared" si="21"/>
        <v>0</v>
      </c>
      <c r="AF46" s="99">
        <f t="shared" si="21"/>
        <v>0.03467085798816568</v>
      </c>
      <c r="AG46" s="165">
        <f t="shared" si="21"/>
        <v>0.04998382026627219</v>
      </c>
      <c r="AH46" s="99">
        <f t="shared" si="21"/>
        <v>0.039351423816568046</v>
      </c>
      <c r="AP46" s="688">
        <f>AP38/AI38</f>
        <v>0.04613444881856291</v>
      </c>
      <c r="AY46" s="688">
        <f>AY38/AR38</f>
        <v>0.04997804178994082</v>
      </c>
    </row>
    <row r="47" spans="1:34" s="129" customFormat="1" ht="12" customHeight="1" hidden="1" outlineLevel="1">
      <c r="A47" s="98"/>
      <c r="B47" s="46"/>
      <c r="C47" s="46"/>
      <c r="D47" s="46"/>
      <c r="E47" s="81" t="s">
        <v>472</v>
      </c>
      <c r="F47" s="126"/>
      <c r="G47" s="81"/>
      <c r="H47" s="99"/>
      <c r="I47" s="261"/>
      <c r="J47" s="99"/>
      <c r="K47" s="99"/>
      <c r="L47" s="99"/>
      <c r="M47" s="99"/>
      <c r="N47" s="99"/>
      <c r="O47" s="99"/>
      <c r="P47" s="99"/>
      <c r="Q47" s="65">
        <f aca="true" t="shared" si="22" ref="Q47:AH47">Q38-H38</f>
        <v>0</v>
      </c>
      <c r="R47" s="65">
        <f t="shared" si="22"/>
        <v>-55.65999999999997</v>
      </c>
      <c r="S47" s="65">
        <f t="shared" si="22"/>
        <v>293.40500000000003</v>
      </c>
      <c r="T47" s="65">
        <f t="shared" si="22"/>
        <v>-121.48</v>
      </c>
      <c r="U47" s="65">
        <f t="shared" si="22"/>
        <v>-177.98000000000002</v>
      </c>
      <c r="V47" s="65">
        <f t="shared" si="22"/>
        <v>-13</v>
      </c>
      <c r="W47" s="65">
        <f t="shared" si="22"/>
        <v>-4.799999999999997</v>
      </c>
      <c r="X47" s="65">
        <f t="shared" si="22"/>
        <v>79.515</v>
      </c>
      <c r="Y47" s="65">
        <f t="shared" si="22"/>
        <v>0</v>
      </c>
      <c r="Z47" s="65">
        <f t="shared" si="22"/>
        <v>-20.679999999999836</v>
      </c>
      <c r="AA47" s="65">
        <f t="shared" si="22"/>
        <v>-30.5</v>
      </c>
      <c r="AB47" s="65">
        <f t="shared" si="22"/>
        <v>0</v>
      </c>
      <c r="AC47" s="65">
        <f t="shared" si="22"/>
        <v>0</v>
      </c>
      <c r="AD47" s="65">
        <f t="shared" si="22"/>
        <v>0</v>
      </c>
      <c r="AE47" s="65">
        <f t="shared" si="22"/>
        <v>0</v>
      </c>
      <c r="AF47" s="65">
        <f t="shared" si="22"/>
        <v>-25</v>
      </c>
      <c r="AG47" s="65">
        <f t="shared" si="22"/>
        <v>-33.28</v>
      </c>
      <c r="AH47" s="65">
        <f t="shared" si="22"/>
        <v>68.1</v>
      </c>
    </row>
    <row r="48" spans="1:44" s="130" customFormat="1" ht="12" customHeight="1" hidden="1" outlineLevel="1">
      <c r="A48" s="10"/>
      <c r="B48" s="46"/>
      <c r="C48" s="46"/>
      <c r="D48" s="46"/>
      <c r="E48" s="43" t="s">
        <v>473</v>
      </c>
      <c r="F48" s="44"/>
      <c r="G48" s="43"/>
      <c r="H48" s="49"/>
      <c r="I48" s="262"/>
      <c r="J48" s="49"/>
      <c r="K48" s="49"/>
      <c r="L48" s="49"/>
      <c r="M48" s="49"/>
      <c r="N48" s="49"/>
      <c r="O48" s="49"/>
      <c r="P48" s="49"/>
      <c r="Q48" s="49"/>
      <c r="R48" s="49"/>
      <c r="S48" s="84"/>
      <c r="T48" s="49"/>
      <c r="U48" s="49"/>
      <c r="V48" s="49"/>
      <c r="W48" s="49"/>
      <c r="X48" s="49"/>
      <c r="Y48" s="49"/>
      <c r="Z48" s="90"/>
      <c r="AA48" s="90" t="s">
        <v>658</v>
      </c>
      <c r="AB48" s="90">
        <f>(AA38+AB38)/232.7</f>
        <v>6.149376880103137</v>
      </c>
      <c r="AC48" s="90"/>
      <c r="AD48" s="90"/>
      <c r="AE48" s="90"/>
      <c r="AF48" s="90"/>
      <c r="AG48" s="90" t="s">
        <v>659</v>
      </c>
      <c r="AH48" s="90"/>
      <c r="AR48" s="689"/>
    </row>
    <row r="49" spans="1:133" s="56" customFormat="1" ht="12" customHeight="1" collapsed="1">
      <c r="A49" s="88">
        <v>8</v>
      </c>
      <c r="B49" s="106" t="s">
        <v>482</v>
      </c>
      <c r="C49" s="106" t="s">
        <v>477</v>
      </c>
      <c r="D49" s="106" t="s">
        <v>530</v>
      </c>
      <c r="E49" s="102">
        <v>177.13</v>
      </c>
      <c r="F49" s="115"/>
      <c r="G49" s="102"/>
      <c r="H49" s="89">
        <f>SUM(H50:H58)</f>
        <v>2639.9999999999995</v>
      </c>
      <c r="I49" s="259">
        <f>SUM(I50:I58)</f>
        <v>274</v>
      </c>
      <c r="J49" s="89">
        <f aca="true" t="shared" si="23" ref="J49:P49">SUM(J50:J58)</f>
        <v>619.0000000000001</v>
      </c>
      <c r="K49" s="89">
        <f t="shared" si="23"/>
        <v>63</v>
      </c>
      <c r="L49" s="89">
        <f t="shared" si="23"/>
        <v>735</v>
      </c>
      <c r="M49" s="89">
        <f t="shared" si="23"/>
        <v>603</v>
      </c>
      <c r="N49" s="89">
        <f t="shared" si="23"/>
        <v>225</v>
      </c>
      <c r="O49" s="89">
        <f t="shared" si="23"/>
        <v>121</v>
      </c>
      <c r="P49" s="89">
        <f t="shared" si="23"/>
        <v>0</v>
      </c>
      <c r="Q49" s="89">
        <f aca="true" t="shared" si="24" ref="Q49:AQ49">SUM(Q50:Q58)</f>
        <v>2421.9999999999995</v>
      </c>
      <c r="R49" s="89">
        <f t="shared" si="24"/>
        <v>274</v>
      </c>
      <c r="S49" s="89">
        <f t="shared" si="24"/>
        <v>559</v>
      </c>
      <c r="T49" s="89">
        <f t="shared" si="24"/>
        <v>63</v>
      </c>
      <c r="U49" s="89">
        <f t="shared" si="24"/>
        <v>735</v>
      </c>
      <c r="V49" s="89">
        <f t="shared" si="24"/>
        <v>445</v>
      </c>
      <c r="W49" s="89">
        <f t="shared" si="24"/>
        <v>225</v>
      </c>
      <c r="X49" s="89">
        <f t="shared" si="24"/>
        <v>121</v>
      </c>
      <c r="Y49" s="89">
        <f t="shared" si="24"/>
        <v>0</v>
      </c>
      <c r="Z49" s="89">
        <f t="shared" si="24"/>
        <v>2421.9999999999995</v>
      </c>
      <c r="AA49" s="89">
        <f t="shared" si="24"/>
        <v>274</v>
      </c>
      <c r="AB49" s="89">
        <f t="shared" si="24"/>
        <v>559</v>
      </c>
      <c r="AC49" s="89">
        <f t="shared" si="24"/>
        <v>63</v>
      </c>
      <c r="AD49" s="89">
        <f t="shared" si="24"/>
        <v>705</v>
      </c>
      <c r="AE49" s="89">
        <f t="shared" si="24"/>
        <v>445</v>
      </c>
      <c r="AF49" s="89">
        <f t="shared" si="24"/>
        <v>225</v>
      </c>
      <c r="AG49" s="89">
        <f t="shared" si="24"/>
        <v>105.6</v>
      </c>
      <c r="AH49" s="89">
        <f t="shared" si="24"/>
        <v>45.4</v>
      </c>
      <c r="AI49" s="89">
        <f t="shared" si="24"/>
        <v>2422000</v>
      </c>
      <c r="AJ49" s="89">
        <f t="shared" si="24"/>
        <v>1328777.01</v>
      </c>
      <c r="AK49" s="89">
        <f t="shared" si="24"/>
        <v>447500</v>
      </c>
      <c r="AL49" s="89">
        <f t="shared" si="24"/>
        <v>23310</v>
      </c>
      <c r="AM49" s="89">
        <f t="shared" si="24"/>
        <v>127050</v>
      </c>
      <c r="AN49" s="89">
        <f t="shared" si="24"/>
        <v>255300</v>
      </c>
      <c r="AO49" s="89">
        <f t="shared" si="24"/>
        <v>117540</v>
      </c>
      <c r="AP49" s="89">
        <f t="shared" si="24"/>
        <v>122522.99</v>
      </c>
      <c r="AQ49" s="89">
        <f t="shared" si="24"/>
        <v>0</v>
      </c>
      <c r="AR49" s="1100">
        <f>SUM(AS49:AY49)</f>
        <v>2422000</v>
      </c>
      <c r="AS49" s="1100">
        <v>1463912</v>
      </c>
      <c r="AT49" s="1101">
        <v>419328</v>
      </c>
      <c r="AU49" s="1101">
        <v>20000</v>
      </c>
      <c r="AV49" s="1101">
        <v>44430</v>
      </c>
      <c r="AW49" s="1101">
        <v>285000</v>
      </c>
      <c r="AX49" s="1101">
        <v>49330</v>
      </c>
      <c r="AY49" s="1101">
        <v>140000</v>
      </c>
      <c r="AZ49" s="1101"/>
      <c r="BA49" s="11"/>
      <c r="BB49" s="11"/>
      <c r="BC49" s="11"/>
      <c r="BD49" s="11"/>
      <c r="BE49" s="60"/>
      <c r="BF49" s="59"/>
      <c r="BG49" s="58"/>
      <c r="BH49" s="59"/>
      <c r="BI49" s="57"/>
      <c r="BJ49" s="60"/>
      <c r="BK49" s="59"/>
      <c r="BL49" s="93"/>
      <c r="BM49" s="61"/>
      <c r="BN49" s="61"/>
      <c r="BO49" s="59"/>
      <c r="BP49" s="18"/>
      <c r="BQ49" s="39"/>
      <c r="BR49" s="12"/>
      <c r="BS49" s="12"/>
      <c r="BT49" s="32"/>
      <c r="BU49" s="14"/>
      <c r="BV49" s="28"/>
      <c r="BW49" s="28"/>
      <c r="BX49" s="14"/>
      <c r="BY49" s="29"/>
      <c r="BZ49" s="14"/>
      <c r="CA49" s="16"/>
      <c r="CB49" s="31"/>
      <c r="CC49" s="13"/>
      <c r="CD49" s="28"/>
      <c r="CE49" s="13"/>
      <c r="CF49" s="17"/>
      <c r="CG49" s="5"/>
      <c r="CH49" s="22"/>
      <c r="CI49" s="22"/>
      <c r="CJ49" s="22"/>
      <c r="CK49" s="22"/>
      <c r="CL49" s="22"/>
      <c r="CM49" s="22"/>
      <c r="CN49" s="14"/>
      <c r="CO49" s="22"/>
      <c r="CP49" s="22"/>
      <c r="CQ49" s="22"/>
      <c r="CR49" s="22"/>
      <c r="CS49" s="22"/>
      <c r="CT49" s="22"/>
      <c r="CU49" s="30"/>
      <c r="CV49" s="22"/>
      <c r="CW49" s="22"/>
      <c r="CX49" s="22"/>
      <c r="CY49" s="22"/>
      <c r="CZ49" s="22"/>
      <c r="DA49" s="22"/>
      <c r="DB49" s="22"/>
      <c r="DC49" s="35"/>
      <c r="DD49" s="37"/>
      <c r="DE49" s="22"/>
      <c r="DF49" s="5"/>
      <c r="DG49" s="36"/>
      <c r="DH49" s="22"/>
      <c r="DI49" s="14"/>
      <c r="DJ49" s="14"/>
      <c r="DK49" s="23"/>
      <c r="DL49" s="19"/>
      <c r="DM49" s="19"/>
      <c r="DN49" s="15"/>
      <c r="DO49" s="131"/>
      <c r="DQ49" s="74"/>
      <c r="DR49" s="94"/>
      <c r="DS49" s="132"/>
      <c r="DT49" s="75"/>
      <c r="DU49" s="94"/>
      <c r="DV49" s="133"/>
      <c r="DW49" s="94"/>
      <c r="DX49" s="62"/>
      <c r="DZ49" s="75"/>
      <c r="EC49" s="62"/>
    </row>
    <row r="50" spans="1:42" s="130" customFormat="1" ht="12" customHeight="1" hidden="1" outlineLevel="1">
      <c r="A50" s="10"/>
      <c r="B50" s="46"/>
      <c r="C50" s="46"/>
      <c r="D50" s="46"/>
      <c r="E50" s="81">
        <v>1</v>
      </c>
      <c r="F50" s="126"/>
      <c r="G50" s="81"/>
      <c r="H50" s="80">
        <f>SUM(I50:O50)</f>
        <v>425.6</v>
      </c>
      <c r="I50" s="263">
        <v>168</v>
      </c>
      <c r="J50" s="48">
        <v>174.6</v>
      </c>
      <c r="K50" s="48"/>
      <c r="L50" s="48"/>
      <c r="M50" s="48"/>
      <c r="N50" s="48"/>
      <c r="O50" s="83">
        <v>83</v>
      </c>
      <c r="P50" s="83"/>
      <c r="Q50" s="80">
        <f>SUM(R50:X50)</f>
        <v>425.6</v>
      </c>
      <c r="R50" s="52">
        <v>168</v>
      </c>
      <c r="S50" s="48">
        <v>174.6</v>
      </c>
      <c r="T50" s="48"/>
      <c r="U50" s="48"/>
      <c r="V50" s="48"/>
      <c r="W50" s="48"/>
      <c r="X50" s="83">
        <v>83</v>
      </c>
      <c r="Y50" s="83">
        <v>0</v>
      </c>
      <c r="Z50" s="80">
        <f>SUM(AA50:AH50)</f>
        <v>425.6</v>
      </c>
      <c r="AA50" s="52">
        <v>168</v>
      </c>
      <c r="AB50" s="48">
        <v>174.6</v>
      </c>
      <c r="AC50" s="48"/>
      <c r="AD50" s="48"/>
      <c r="AE50" s="48"/>
      <c r="AF50" s="48"/>
      <c r="AG50" s="83">
        <v>83</v>
      </c>
      <c r="AH50" s="83"/>
      <c r="AI50" s="80">
        <f>SUM(AJ50:AQ50)</f>
        <v>525600</v>
      </c>
      <c r="AJ50" s="680">
        <v>167277.01</v>
      </c>
      <c r="AK50" s="680">
        <v>270200</v>
      </c>
      <c r="AL50" s="680">
        <v>0</v>
      </c>
      <c r="AM50" s="680">
        <v>0</v>
      </c>
      <c r="AN50" s="680">
        <v>0</v>
      </c>
      <c r="AO50" s="680">
        <v>0</v>
      </c>
      <c r="AP50" s="680">
        <v>88122.99</v>
      </c>
    </row>
    <row r="51" spans="1:42" s="130" customFormat="1" ht="12" customHeight="1" hidden="1" outlineLevel="1">
      <c r="A51" s="10"/>
      <c r="B51" s="46"/>
      <c r="C51" s="100"/>
      <c r="D51" s="100"/>
      <c r="E51" s="81">
        <v>2</v>
      </c>
      <c r="F51" s="126"/>
      <c r="G51" s="81"/>
      <c r="H51" s="80">
        <f aca="true" t="shared" si="25" ref="H51:H58">SUM(I51:O51)</f>
        <v>94</v>
      </c>
      <c r="I51" s="263">
        <v>28.5</v>
      </c>
      <c r="J51" s="48">
        <v>0</v>
      </c>
      <c r="K51" s="48"/>
      <c r="L51" s="48">
        <v>39.5</v>
      </c>
      <c r="M51" s="48"/>
      <c r="N51" s="48"/>
      <c r="O51" s="83">
        <v>26</v>
      </c>
      <c r="P51" s="83"/>
      <c r="Q51" s="80">
        <f aca="true" t="shared" si="26" ref="Q51:Q58">SUM(R51:X51)</f>
        <v>94</v>
      </c>
      <c r="R51" s="52">
        <v>28.5</v>
      </c>
      <c r="S51" s="48">
        <v>0</v>
      </c>
      <c r="T51" s="48"/>
      <c r="U51" s="48">
        <v>39.5</v>
      </c>
      <c r="V51" s="48"/>
      <c r="W51" s="48"/>
      <c r="X51" s="83">
        <v>26</v>
      </c>
      <c r="Y51" s="83"/>
      <c r="Z51" s="80">
        <f>SUM(AA51:AH51)</f>
        <v>94</v>
      </c>
      <c r="AA51" s="52">
        <v>28.5</v>
      </c>
      <c r="AB51" s="48"/>
      <c r="AC51" s="48"/>
      <c r="AD51" s="104">
        <f>5+4.5</f>
        <v>9.5</v>
      </c>
      <c r="AE51" s="48"/>
      <c r="AF51" s="48"/>
      <c r="AG51" s="103">
        <f>26-11.4</f>
        <v>14.6</v>
      </c>
      <c r="AH51" s="101">
        <f>30+11.4</f>
        <v>41.4</v>
      </c>
      <c r="AI51" s="80">
        <f>SUM(AJ51:AQ51)</f>
        <v>93400</v>
      </c>
      <c r="AJ51" s="680">
        <v>28500</v>
      </c>
      <c r="AK51" s="680"/>
      <c r="AL51" s="680"/>
      <c r="AM51" s="680">
        <v>39500</v>
      </c>
      <c r="AN51" s="680"/>
      <c r="AO51" s="680"/>
      <c r="AP51" s="680">
        <v>25400</v>
      </c>
    </row>
    <row r="52" spans="1:42" s="130" customFormat="1" ht="12" customHeight="1" hidden="1" outlineLevel="1">
      <c r="A52" s="10"/>
      <c r="B52" s="46"/>
      <c r="C52" s="96">
        <f>Z49*0.65</f>
        <v>1574.2999999999997</v>
      </c>
      <c r="D52" s="96"/>
      <c r="E52" s="81">
        <v>3</v>
      </c>
      <c r="F52" s="126"/>
      <c r="G52" s="81"/>
      <c r="H52" s="80">
        <f t="shared" si="25"/>
        <v>843</v>
      </c>
      <c r="I52" s="263"/>
      <c r="J52" s="48">
        <v>240</v>
      </c>
      <c r="K52" s="48"/>
      <c r="L52" s="48"/>
      <c r="M52" s="48">
        <v>603</v>
      </c>
      <c r="N52" s="48"/>
      <c r="O52" s="83"/>
      <c r="P52" s="83"/>
      <c r="Q52" s="80">
        <f t="shared" si="26"/>
        <v>625</v>
      </c>
      <c r="R52" s="52"/>
      <c r="S52" s="48">
        <v>180</v>
      </c>
      <c r="T52" s="48"/>
      <c r="U52" s="48"/>
      <c r="V52" s="48">
        <v>445</v>
      </c>
      <c r="W52" s="48"/>
      <c r="X52" s="83"/>
      <c r="Y52" s="83"/>
      <c r="Z52" s="80">
        <f aca="true" t="shared" si="27" ref="Z52:Z57">SUM(AA52:AH52)</f>
        <v>625</v>
      </c>
      <c r="AA52" s="52"/>
      <c r="AB52" s="48">
        <v>180</v>
      </c>
      <c r="AC52" s="48"/>
      <c r="AD52" s="48"/>
      <c r="AE52" s="48">
        <v>445</v>
      </c>
      <c r="AF52" s="48"/>
      <c r="AG52" s="83"/>
      <c r="AH52" s="83"/>
      <c r="AI52" s="80">
        <f aca="true" t="shared" si="28" ref="AI52:AI57">SUM(AJ52:AQ52)</f>
        <v>528500</v>
      </c>
      <c r="AJ52" s="680">
        <v>323200</v>
      </c>
      <c r="AK52" s="680"/>
      <c r="AL52" s="680">
        <v>7560</v>
      </c>
      <c r="AM52" s="680">
        <v>12900</v>
      </c>
      <c r="AN52" s="680">
        <v>87300</v>
      </c>
      <c r="AO52" s="680">
        <v>97540</v>
      </c>
      <c r="AP52" s="680"/>
    </row>
    <row r="53" spans="1:42" s="130" customFormat="1" ht="12" customHeight="1" hidden="1" outlineLevel="1">
      <c r="A53" s="10"/>
      <c r="B53" s="46"/>
      <c r="C53" s="96">
        <f>Z49-C52</f>
        <v>847.6999999999998</v>
      </c>
      <c r="D53" s="96"/>
      <c r="E53" s="81">
        <v>4</v>
      </c>
      <c r="F53" s="126"/>
      <c r="G53" s="81"/>
      <c r="H53" s="80">
        <f t="shared" si="25"/>
        <v>243.6</v>
      </c>
      <c r="I53" s="263"/>
      <c r="J53" s="48">
        <v>53</v>
      </c>
      <c r="K53" s="48"/>
      <c r="L53" s="48">
        <v>40</v>
      </c>
      <c r="M53" s="48"/>
      <c r="N53" s="48">
        <v>150.6</v>
      </c>
      <c r="O53" s="83"/>
      <c r="P53" s="83"/>
      <c r="Q53" s="80">
        <f t="shared" si="26"/>
        <v>243.6</v>
      </c>
      <c r="R53" s="52"/>
      <c r="S53" s="48">
        <v>53</v>
      </c>
      <c r="T53" s="48"/>
      <c r="U53" s="48">
        <v>40</v>
      </c>
      <c r="V53" s="48"/>
      <c r="W53" s="48">
        <v>150.6</v>
      </c>
      <c r="X53" s="83"/>
      <c r="Y53" s="83"/>
      <c r="Z53" s="80">
        <f t="shared" si="27"/>
        <v>243.6</v>
      </c>
      <c r="AA53" s="52"/>
      <c r="AB53" s="48">
        <f>53</f>
        <v>53</v>
      </c>
      <c r="AC53" s="48"/>
      <c r="AD53" s="48">
        <v>40</v>
      </c>
      <c r="AE53" s="48"/>
      <c r="AF53" s="48">
        <v>150.6</v>
      </c>
      <c r="AG53" s="83"/>
      <c r="AH53" s="83"/>
      <c r="AI53" s="80">
        <f t="shared" si="28"/>
        <v>231200</v>
      </c>
      <c r="AJ53" s="680">
        <v>211200</v>
      </c>
      <c r="AK53" s="680"/>
      <c r="AL53" s="680">
        <v>15750</v>
      </c>
      <c r="AM53" s="680">
        <v>4250</v>
      </c>
      <c r="AN53" s="680"/>
      <c r="AO53" s="680"/>
      <c r="AP53" s="680"/>
    </row>
    <row r="54" spans="1:42" s="130" customFormat="1" ht="12" customHeight="1" hidden="1" outlineLevel="1">
      <c r="A54" s="10"/>
      <c r="B54" s="46"/>
      <c r="C54" s="46"/>
      <c r="D54" s="46"/>
      <c r="E54" s="81">
        <v>5</v>
      </c>
      <c r="F54" s="126"/>
      <c r="G54" s="81"/>
      <c r="H54" s="80">
        <f>SUM(I54:O54)</f>
        <v>725.6999999999999</v>
      </c>
      <c r="I54" s="263"/>
      <c r="J54" s="48">
        <v>15</v>
      </c>
      <c r="K54" s="48"/>
      <c r="L54" s="48">
        <v>648.3</v>
      </c>
      <c r="M54" s="48"/>
      <c r="N54" s="48">
        <v>62.4</v>
      </c>
      <c r="O54" s="83"/>
      <c r="P54" s="83"/>
      <c r="Q54" s="80">
        <f t="shared" si="26"/>
        <v>725.6999999999999</v>
      </c>
      <c r="R54" s="52"/>
      <c r="S54" s="48">
        <v>15</v>
      </c>
      <c r="T54" s="48"/>
      <c r="U54" s="48">
        <v>648.3</v>
      </c>
      <c r="V54" s="48"/>
      <c r="W54" s="48">
        <v>62.4</v>
      </c>
      <c r="X54" s="83"/>
      <c r="Y54" s="83"/>
      <c r="Z54" s="80">
        <f t="shared" si="27"/>
        <v>725.6999999999999</v>
      </c>
      <c r="AA54" s="52"/>
      <c r="AB54" s="48">
        <v>15</v>
      </c>
      <c r="AC54" s="48"/>
      <c r="AD54" s="48">
        <f>648.3</f>
        <v>648.3</v>
      </c>
      <c r="AE54" s="48"/>
      <c r="AF54" s="48">
        <v>62.4</v>
      </c>
      <c r="AG54" s="83"/>
      <c r="AH54" s="83"/>
      <c r="AI54" s="80">
        <f t="shared" si="28"/>
        <v>652000</v>
      </c>
      <c r="AJ54" s="680">
        <v>561600</v>
      </c>
      <c r="AK54" s="680"/>
      <c r="AL54" s="680"/>
      <c r="AM54" s="680">
        <v>70400</v>
      </c>
      <c r="AN54" s="680"/>
      <c r="AO54" s="680">
        <v>20000</v>
      </c>
      <c r="AP54" s="680"/>
    </row>
    <row r="55" spans="1:42" s="130" customFormat="1" ht="12" customHeight="1" hidden="1" outlineLevel="1">
      <c r="A55" s="10"/>
      <c r="B55" s="46"/>
      <c r="C55" s="105">
        <f>1553.9/Z49</f>
        <v>0.6415772089182495</v>
      </c>
      <c r="D55" s="105"/>
      <c r="E55" s="81">
        <v>6</v>
      </c>
      <c r="F55" s="126"/>
      <c r="G55" s="81"/>
      <c r="H55" s="80">
        <f t="shared" si="25"/>
        <v>93</v>
      </c>
      <c r="I55" s="263"/>
      <c r="J55" s="48">
        <v>10.8</v>
      </c>
      <c r="K55" s="48">
        <v>63</v>
      </c>
      <c r="L55" s="48">
        <v>7.2</v>
      </c>
      <c r="M55" s="48"/>
      <c r="N55" s="48">
        <v>12</v>
      </c>
      <c r="O55" s="83"/>
      <c r="P55" s="83"/>
      <c r="Q55" s="80">
        <f t="shared" si="26"/>
        <v>93</v>
      </c>
      <c r="R55" s="52"/>
      <c r="S55" s="48">
        <v>10.8</v>
      </c>
      <c r="T55" s="48">
        <v>63</v>
      </c>
      <c r="U55" s="48">
        <v>7.2</v>
      </c>
      <c r="V55" s="48"/>
      <c r="W55" s="48">
        <v>12</v>
      </c>
      <c r="X55" s="83"/>
      <c r="Y55" s="83"/>
      <c r="Z55" s="80">
        <f t="shared" si="27"/>
        <v>93</v>
      </c>
      <c r="AA55" s="52"/>
      <c r="AB55" s="48">
        <v>10.8</v>
      </c>
      <c r="AC55" s="48">
        <v>63</v>
      </c>
      <c r="AD55" s="48">
        <v>7.2</v>
      </c>
      <c r="AE55" s="48"/>
      <c r="AF55" s="48">
        <v>12</v>
      </c>
      <c r="AG55" s="83"/>
      <c r="AH55" s="83"/>
      <c r="AI55" s="80">
        <f t="shared" si="28"/>
        <v>176000</v>
      </c>
      <c r="AJ55" s="680">
        <v>8000</v>
      </c>
      <c r="AK55" s="680"/>
      <c r="AL55" s="680"/>
      <c r="AM55" s="680"/>
      <c r="AN55" s="680">
        <v>168000</v>
      </c>
      <c r="AO55" s="680"/>
      <c r="AP55" s="680"/>
    </row>
    <row r="56" spans="1:42" s="130" customFormat="1" ht="12" customHeight="1" hidden="1" outlineLevel="1">
      <c r="A56" s="10"/>
      <c r="B56" s="46"/>
      <c r="C56" s="46"/>
      <c r="D56" s="46"/>
      <c r="E56" s="81">
        <v>7</v>
      </c>
      <c r="F56" s="126"/>
      <c r="G56" s="81"/>
      <c r="H56" s="80">
        <f t="shared" si="25"/>
        <v>62</v>
      </c>
      <c r="I56" s="263">
        <v>12</v>
      </c>
      <c r="J56" s="48">
        <v>50</v>
      </c>
      <c r="K56" s="48"/>
      <c r="L56" s="48"/>
      <c r="M56" s="48"/>
      <c r="N56" s="48"/>
      <c r="O56" s="83"/>
      <c r="P56" s="83"/>
      <c r="Q56" s="80">
        <f t="shared" si="26"/>
        <v>62</v>
      </c>
      <c r="R56" s="52">
        <v>12</v>
      </c>
      <c r="S56" s="48">
        <v>50</v>
      </c>
      <c r="T56" s="48"/>
      <c r="U56" s="48"/>
      <c r="V56" s="48"/>
      <c r="W56" s="48"/>
      <c r="X56" s="83"/>
      <c r="Y56" s="83"/>
      <c r="Z56" s="80">
        <f>SUM(AA56:AH56)</f>
        <v>62</v>
      </c>
      <c r="AA56" s="52">
        <v>12</v>
      </c>
      <c r="AB56" s="48">
        <f>50</f>
        <v>50</v>
      </c>
      <c r="AC56" s="48"/>
      <c r="AD56" s="48"/>
      <c r="AE56" s="48"/>
      <c r="AF56" s="48"/>
      <c r="AG56" s="83"/>
      <c r="AH56" s="83"/>
      <c r="AI56" s="80">
        <f>SUM(AJ56:AQ56)</f>
        <v>60000</v>
      </c>
      <c r="AJ56" s="680">
        <v>12000</v>
      </c>
      <c r="AK56" s="680">
        <v>48000</v>
      </c>
      <c r="AL56" s="680"/>
      <c r="AM56" s="680"/>
      <c r="AN56" s="680"/>
      <c r="AO56" s="680"/>
      <c r="AP56" s="680"/>
    </row>
    <row r="57" spans="1:42" s="130" customFormat="1" ht="12" customHeight="1" hidden="1" outlineLevel="1">
      <c r="A57" s="10"/>
      <c r="B57" s="46"/>
      <c r="C57" s="46">
        <f>1328.7/177/20/8*1000</f>
        <v>46.91737288135593</v>
      </c>
      <c r="D57" s="46"/>
      <c r="E57" s="81">
        <v>8</v>
      </c>
      <c r="F57" s="126"/>
      <c r="G57" s="81"/>
      <c r="H57" s="80">
        <f t="shared" si="25"/>
        <v>127.1</v>
      </c>
      <c r="I57" s="263">
        <v>48.5</v>
      </c>
      <c r="J57" s="48">
        <v>75.6</v>
      </c>
      <c r="K57" s="48"/>
      <c r="L57" s="48"/>
      <c r="M57" s="48"/>
      <c r="N57" s="48"/>
      <c r="O57" s="83">
        <v>3</v>
      </c>
      <c r="P57" s="83"/>
      <c r="Q57" s="80">
        <f t="shared" si="26"/>
        <v>127.1</v>
      </c>
      <c r="R57" s="52">
        <v>48.5</v>
      </c>
      <c r="S57" s="48">
        <v>75.6</v>
      </c>
      <c r="T57" s="48"/>
      <c r="U57" s="48"/>
      <c r="V57" s="48"/>
      <c r="W57" s="48"/>
      <c r="X57" s="83">
        <v>3</v>
      </c>
      <c r="Y57" s="83"/>
      <c r="Z57" s="80">
        <f t="shared" si="27"/>
        <v>127.1</v>
      </c>
      <c r="AA57" s="52">
        <v>48.5</v>
      </c>
      <c r="AB57" s="48">
        <f>75.6</f>
        <v>75.6</v>
      </c>
      <c r="AC57" s="48"/>
      <c r="AD57" s="48"/>
      <c r="AE57" s="48"/>
      <c r="AF57" s="48"/>
      <c r="AG57" s="83">
        <v>3</v>
      </c>
      <c r="AH57" s="83"/>
      <c r="AI57" s="80">
        <f t="shared" si="28"/>
        <v>129300</v>
      </c>
      <c r="AJ57" s="680"/>
      <c r="AK57" s="680">
        <v>129300</v>
      </c>
      <c r="AL57" s="680"/>
      <c r="AM57" s="680"/>
      <c r="AN57" s="680"/>
      <c r="AO57" s="680"/>
      <c r="AP57" s="680"/>
    </row>
    <row r="58" spans="1:42" s="130" customFormat="1" ht="12" customHeight="1" hidden="1" outlineLevel="1">
      <c r="A58" s="10"/>
      <c r="B58" s="46"/>
      <c r="C58" s="46">
        <f>180000/23.33/20/8</f>
        <v>48.22117445349336</v>
      </c>
      <c r="D58" s="46"/>
      <c r="E58" s="81">
        <v>9</v>
      </c>
      <c r="F58" s="126"/>
      <c r="G58" s="81"/>
      <c r="H58" s="80">
        <f t="shared" si="25"/>
        <v>26</v>
      </c>
      <c r="I58" s="263">
        <v>17</v>
      </c>
      <c r="J58" s="40"/>
      <c r="K58" s="48"/>
      <c r="L58" s="48"/>
      <c r="M58" s="48"/>
      <c r="N58" s="48"/>
      <c r="O58" s="83">
        <v>9</v>
      </c>
      <c r="P58" s="83"/>
      <c r="Q58" s="80">
        <f t="shared" si="26"/>
        <v>26</v>
      </c>
      <c r="R58" s="52">
        <v>17</v>
      </c>
      <c r="S58" s="40"/>
      <c r="T58" s="48"/>
      <c r="U58" s="48"/>
      <c r="V58" s="48"/>
      <c r="W58" s="48"/>
      <c r="X58" s="83">
        <v>9</v>
      </c>
      <c r="Y58" s="83"/>
      <c r="Z58" s="80">
        <f>SUM(AA58:AH58)</f>
        <v>26</v>
      </c>
      <c r="AA58" s="52">
        <v>17</v>
      </c>
      <c r="AB58" s="40"/>
      <c r="AC58" s="48"/>
      <c r="AD58" s="48"/>
      <c r="AE58" s="48"/>
      <c r="AF58" s="48"/>
      <c r="AG58" s="103">
        <f>9-4</f>
        <v>5</v>
      </c>
      <c r="AH58" s="101">
        <v>4</v>
      </c>
      <c r="AI58" s="80">
        <f>SUM(AJ58:AQ58)</f>
        <v>26000</v>
      </c>
      <c r="AJ58" s="680">
        <v>17000</v>
      </c>
      <c r="AK58" s="680"/>
      <c r="AL58" s="680"/>
      <c r="AM58" s="680"/>
      <c r="AN58" s="680"/>
      <c r="AO58" s="680"/>
      <c r="AP58" s="680">
        <v>9000</v>
      </c>
    </row>
    <row r="59" spans="1:34" s="129" customFormat="1" ht="12" customHeight="1" hidden="1" outlineLevel="1">
      <c r="A59" s="98"/>
      <c r="B59" s="46"/>
      <c r="C59" s="46"/>
      <c r="D59" s="46"/>
      <c r="E59" s="81" t="s">
        <v>471</v>
      </c>
      <c r="F59" s="126"/>
      <c r="G59" s="81"/>
      <c r="H59" s="99">
        <f>H49/$H$49</f>
        <v>1</v>
      </c>
      <c r="I59" s="261">
        <f>I49/$H$49</f>
        <v>0.1037878787878788</v>
      </c>
      <c r="J59" s="99">
        <f aca="true" t="shared" si="29" ref="J59:O59">J49/$H$49</f>
        <v>0.23446969696969705</v>
      </c>
      <c r="K59" s="99">
        <f t="shared" si="29"/>
        <v>0.023863636363636368</v>
      </c>
      <c r="L59" s="99">
        <f t="shared" si="29"/>
        <v>0.27840909090909094</v>
      </c>
      <c r="M59" s="99">
        <f t="shared" si="29"/>
        <v>0.22840909090909095</v>
      </c>
      <c r="N59" s="99">
        <f t="shared" si="29"/>
        <v>0.08522727272727275</v>
      </c>
      <c r="O59" s="99">
        <f t="shared" si="29"/>
        <v>0.045833333333333344</v>
      </c>
      <c r="P59" s="99">
        <f>P49/$H$49</f>
        <v>0</v>
      </c>
      <c r="Q59" s="99">
        <f>Q49/$Q$49</f>
        <v>1</v>
      </c>
      <c r="R59" s="99">
        <f aca="true" t="shared" si="30" ref="R59:X59">R49/$Q$49</f>
        <v>0.11312964492155246</v>
      </c>
      <c r="S59" s="99">
        <f t="shared" si="30"/>
        <v>0.2308009909165979</v>
      </c>
      <c r="T59" s="99">
        <f t="shared" si="30"/>
        <v>0.026011560693641623</v>
      </c>
      <c r="U59" s="99">
        <f t="shared" si="30"/>
        <v>0.3034682080924856</v>
      </c>
      <c r="V59" s="99">
        <f t="shared" si="30"/>
        <v>0.18373245251857973</v>
      </c>
      <c r="W59" s="99">
        <f t="shared" si="30"/>
        <v>0.09289843104872009</v>
      </c>
      <c r="X59" s="99">
        <f t="shared" si="30"/>
        <v>0.049958711808422804</v>
      </c>
      <c r="Y59" s="99">
        <f>Y49/$Q$49</f>
        <v>0</v>
      </c>
      <c r="Z59" s="99">
        <f>Z49/$Z$49</f>
        <v>1</v>
      </c>
      <c r="AA59" s="99">
        <f aca="true" t="shared" si="31" ref="AA59:AG59">AA49/$Z$49</f>
        <v>0.11312964492155246</v>
      </c>
      <c r="AB59" s="99">
        <f t="shared" si="31"/>
        <v>0.2308009909165979</v>
      </c>
      <c r="AC59" s="99">
        <f t="shared" si="31"/>
        <v>0.026011560693641623</v>
      </c>
      <c r="AD59" s="99">
        <f t="shared" si="31"/>
        <v>0.29108175061932295</v>
      </c>
      <c r="AE59" s="99">
        <f t="shared" si="31"/>
        <v>0.18373245251857973</v>
      </c>
      <c r="AF59" s="99">
        <f t="shared" si="31"/>
        <v>0.09289843104872009</v>
      </c>
      <c r="AG59" s="99">
        <f t="shared" si="31"/>
        <v>0.04360033030553263</v>
      </c>
      <c r="AH59" s="99">
        <f>AH49/$Z$49</f>
        <v>0.018744838976052853</v>
      </c>
    </row>
    <row r="60" spans="1:34" s="129" customFormat="1" ht="12" customHeight="1" hidden="1" outlineLevel="1">
      <c r="A60" s="98"/>
      <c r="B60" s="46"/>
      <c r="C60" s="46"/>
      <c r="D60" s="46"/>
      <c r="E60" s="81" t="s">
        <v>472</v>
      </c>
      <c r="F60" s="126"/>
      <c r="G60" s="81"/>
      <c r="H60" s="99"/>
      <c r="I60" s="261"/>
      <c r="J60" s="99"/>
      <c r="K60" s="99"/>
      <c r="L60" s="99"/>
      <c r="M60" s="99"/>
      <c r="N60" s="99"/>
      <c r="O60" s="99"/>
      <c r="P60" s="99"/>
      <c r="Q60" s="65">
        <f>Q49-H49</f>
        <v>-218</v>
      </c>
      <c r="R60" s="65">
        <f aca="true" t="shared" si="32" ref="R60:Y60">R49-I49</f>
        <v>0</v>
      </c>
      <c r="S60" s="65">
        <f t="shared" si="32"/>
        <v>-60.000000000000114</v>
      </c>
      <c r="T60" s="65">
        <f t="shared" si="32"/>
        <v>0</v>
      </c>
      <c r="U60" s="65">
        <f t="shared" si="32"/>
        <v>0</v>
      </c>
      <c r="V60" s="65">
        <f t="shared" si="32"/>
        <v>-158</v>
      </c>
      <c r="W60" s="65">
        <f t="shared" si="32"/>
        <v>0</v>
      </c>
      <c r="X60" s="65">
        <f t="shared" si="32"/>
        <v>0</v>
      </c>
      <c r="Y60" s="65">
        <f t="shared" si="32"/>
        <v>0</v>
      </c>
      <c r="Z60" s="65">
        <f>Z49-Q49</f>
        <v>0</v>
      </c>
      <c r="AA60" s="65">
        <f aca="true" t="shared" si="33" ref="AA60:AH60">AA49-R49</f>
        <v>0</v>
      </c>
      <c r="AB60" s="65">
        <f t="shared" si="33"/>
        <v>0</v>
      </c>
      <c r="AC60" s="65">
        <f t="shared" si="33"/>
        <v>0</v>
      </c>
      <c r="AD60" s="65">
        <f t="shared" si="33"/>
        <v>-30</v>
      </c>
      <c r="AE60" s="65">
        <f t="shared" si="33"/>
        <v>0</v>
      </c>
      <c r="AF60" s="65">
        <f t="shared" si="33"/>
        <v>0</v>
      </c>
      <c r="AG60" s="65">
        <f t="shared" si="33"/>
        <v>-15.400000000000006</v>
      </c>
      <c r="AH60" s="65">
        <f t="shared" si="33"/>
        <v>45.4</v>
      </c>
    </row>
    <row r="61" spans="1:34" s="130" customFormat="1" ht="12" customHeight="1" hidden="1" outlineLevel="1">
      <c r="A61" s="10"/>
      <c r="B61" s="46"/>
      <c r="C61" s="46"/>
      <c r="D61" s="46"/>
      <c r="E61" s="43" t="s">
        <v>473</v>
      </c>
      <c r="F61" s="44"/>
      <c r="G61" s="43"/>
      <c r="H61" s="49"/>
      <c r="I61" s="262"/>
      <c r="J61" s="49"/>
      <c r="K61" s="49"/>
      <c r="L61" s="49"/>
      <c r="M61" s="49"/>
      <c r="N61" s="49"/>
      <c r="O61" s="49"/>
      <c r="P61" s="49"/>
      <c r="Q61" s="49"/>
      <c r="R61" s="49"/>
      <c r="S61" s="84"/>
      <c r="T61" s="49"/>
      <c r="U61" s="49"/>
      <c r="V61" s="49"/>
      <c r="W61" s="49"/>
      <c r="X61" s="49"/>
      <c r="Y61" s="49"/>
      <c r="Z61" s="90"/>
      <c r="AA61" s="90"/>
      <c r="AB61" s="90"/>
      <c r="AC61" s="90"/>
      <c r="AD61" s="90" t="s">
        <v>523</v>
      </c>
      <c r="AE61" s="90"/>
      <c r="AF61" s="90"/>
      <c r="AG61" s="90" t="s">
        <v>524</v>
      </c>
      <c r="AH61" s="90"/>
    </row>
    <row r="62" spans="1:133" s="56" customFormat="1" ht="12" customHeight="1" collapsed="1">
      <c r="A62" s="88">
        <v>9</v>
      </c>
      <c r="B62" s="106" t="s">
        <v>482</v>
      </c>
      <c r="C62" s="106" t="s">
        <v>614</v>
      </c>
      <c r="D62" s="106" t="s">
        <v>530</v>
      </c>
      <c r="E62" s="102"/>
      <c r="F62" s="115">
        <f>SUM(F63:F70)</f>
        <v>358</v>
      </c>
      <c r="G62" s="115">
        <f>SUM(G63:G70)</f>
        <v>349.2</v>
      </c>
      <c r="H62" s="89">
        <f aca="true" t="shared" si="34" ref="H62:AH62">SUM(H63:H70)</f>
        <v>1850</v>
      </c>
      <c r="I62" s="259">
        <f t="shared" si="34"/>
        <v>517.3000000000001</v>
      </c>
      <c r="J62" s="89">
        <f t="shared" si="34"/>
        <v>983.0000000000001</v>
      </c>
      <c r="K62" s="89">
        <f t="shared" si="34"/>
        <v>17</v>
      </c>
      <c r="L62" s="89">
        <f t="shared" si="34"/>
        <v>211.2</v>
      </c>
      <c r="M62" s="89">
        <f t="shared" si="34"/>
        <v>8</v>
      </c>
      <c r="N62" s="89">
        <f t="shared" si="34"/>
        <v>67.5</v>
      </c>
      <c r="O62" s="89">
        <f t="shared" si="34"/>
        <v>46</v>
      </c>
      <c r="P62" s="89">
        <f t="shared" si="34"/>
        <v>0</v>
      </c>
      <c r="Q62" s="89">
        <f t="shared" si="34"/>
        <v>1757.072</v>
      </c>
      <c r="R62" s="89">
        <f t="shared" si="34"/>
        <v>496.72</v>
      </c>
      <c r="S62" s="89">
        <f t="shared" si="34"/>
        <v>976.0000000000001</v>
      </c>
      <c r="T62" s="89">
        <f t="shared" si="34"/>
        <v>11</v>
      </c>
      <c r="U62" s="89">
        <f t="shared" si="34"/>
        <v>153</v>
      </c>
      <c r="V62" s="89">
        <f t="shared" si="34"/>
        <v>63</v>
      </c>
      <c r="W62" s="89">
        <f t="shared" si="34"/>
        <v>14.4</v>
      </c>
      <c r="X62" s="89">
        <f t="shared" si="34"/>
        <v>42.95199999999999</v>
      </c>
      <c r="Y62" s="89">
        <f t="shared" si="34"/>
        <v>0</v>
      </c>
      <c r="Z62" s="111">
        <f t="shared" si="34"/>
        <v>1757.072</v>
      </c>
      <c r="AA62" s="111">
        <f t="shared" si="34"/>
        <v>496.72</v>
      </c>
      <c r="AB62" s="111">
        <f t="shared" si="34"/>
        <v>976.0000000000001</v>
      </c>
      <c r="AC62" s="111">
        <f t="shared" si="34"/>
        <v>11</v>
      </c>
      <c r="AD62" s="111">
        <f t="shared" si="34"/>
        <v>153</v>
      </c>
      <c r="AE62" s="111">
        <f t="shared" si="34"/>
        <v>63</v>
      </c>
      <c r="AF62" s="111">
        <f t="shared" si="34"/>
        <v>14.4</v>
      </c>
      <c r="AG62" s="111">
        <f t="shared" si="34"/>
        <v>42.95199999999999</v>
      </c>
      <c r="AH62" s="111">
        <f t="shared" si="34"/>
        <v>0</v>
      </c>
      <c r="AI62" s="42"/>
      <c r="AJ62" s="41"/>
      <c r="AK62" s="42"/>
      <c r="AL62" s="41"/>
      <c r="AM62" s="41"/>
      <c r="AN62" s="41"/>
      <c r="AO62" s="42"/>
      <c r="AP62" s="58"/>
      <c r="AQ62" s="57"/>
      <c r="AR62" s="57"/>
      <c r="AS62" s="65"/>
      <c r="AT62" s="59"/>
      <c r="AU62" s="41"/>
      <c r="AV62" s="41"/>
      <c r="AW62" s="11"/>
      <c r="AX62" s="11"/>
      <c r="AY62" s="11"/>
      <c r="AZ62" s="11"/>
      <c r="BA62" s="11"/>
      <c r="BB62" s="11"/>
      <c r="BC62" s="11"/>
      <c r="BD62" s="11"/>
      <c r="BE62" s="60"/>
      <c r="BF62" s="59"/>
      <c r="BG62" s="58"/>
      <c r="BH62" s="59"/>
      <c r="BI62" s="57"/>
      <c r="BJ62" s="60"/>
      <c r="BK62" s="59"/>
      <c r="BL62" s="93"/>
      <c r="BM62" s="61"/>
      <c r="BN62" s="61"/>
      <c r="BO62" s="59"/>
      <c r="BP62" s="18"/>
      <c r="BQ62" s="39"/>
      <c r="BR62" s="12"/>
      <c r="BS62" s="12"/>
      <c r="BT62" s="32"/>
      <c r="BU62" s="14"/>
      <c r="BV62" s="28"/>
      <c r="BW62" s="28"/>
      <c r="BX62" s="14"/>
      <c r="BY62" s="29"/>
      <c r="BZ62" s="14"/>
      <c r="CA62" s="16"/>
      <c r="CB62" s="31"/>
      <c r="CC62" s="13"/>
      <c r="CD62" s="28"/>
      <c r="CE62" s="13"/>
      <c r="CF62" s="17"/>
      <c r="CG62" s="5"/>
      <c r="CH62" s="22"/>
      <c r="CI62" s="22"/>
      <c r="CJ62" s="22"/>
      <c r="CK62" s="22"/>
      <c r="CL62" s="22"/>
      <c r="CM62" s="22"/>
      <c r="CN62" s="14"/>
      <c r="CO62" s="22"/>
      <c r="CP62" s="22"/>
      <c r="CQ62" s="22"/>
      <c r="CR62" s="22"/>
      <c r="CS62" s="22"/>
      <c r="CT62" s="22"/>
      <c r="CU62" s="30"/>
      <c r="CV62" s="22"/>
      <c r="CW62" s="22"/>
      <c r="CX62" s="22"/>
      <c r="CY62" s="22"/>
      <c r="CZ62" s="22"/>
      <c r="DA62" s="22"/>
      <c r="DB62" s="22"/>
      <c r="DC62" s="35"/>
      <c r="DD62" s="37"/>
      <c r="DE62" s="22"/>
      <c r="DF62" s="5"/>
      <c r="DG62" s="36"/>
      <c r="DH62" s="22"/>
      <c r="DI62" s="14"/>
      <c r="DJ62" s="14"/>
      <c r="DK62" s="23"/>
      <c r="DL62" s="19"/>
      <c r="DM62" s="19"/>
      <c r="DN62" s="15"/>
      <c r="DO62" s="131"/>
      <c r="DQ62" s="74"/>
      <c r="DR62" s="94"/>
      <c r="DS62" s="132"/>
      <c r="DT62" s="75"/>
      <c r="DU62" s="94"/>
      <c r="DV62" s="133"/>
      <c r="DW62" s="94"/>
      <c r="DX62" s="62"/>
      <c r="DZ62" s="75"/>
      <c r="EC62" s="62"/>
    </row>
    <row r="63" spans="1:34" s="130" customFormat="1" ht="12" customHeight="1" hidden="1" outlineLevel="1">
      <c r="A63" s="10"/>
      <c r="B63" s="46"/>
      <c r="C63" s="46"/>
      <c r="D63" s="46"/>
      <c r="E63" s="81">
        <v>1</v>
      </c>
      <c r="F63" s="116">
        <v>34.5</v>
      </c>
      <c r="G63" s="116">
        <v>34.5</v>
      </c>
      <c r="H63" s="80">
        <f aca="true" t="shared" si="35" ref="H63:H70">SUM(I63:O63)</f>
        <v>178.79000000000002</v>
      </c>
      <c r="I63" s="263">
        <v>67.3</v>
      </c>
      <c r="J63" s="48">
        <v>108.5</v>
      </c>
      <c r="K63" s="48"/>
      <c r="L63" s="48"/>
      <c r="M63" s="48"/>
      <c r="N63" s="48"/>
      <c r="O63" s="83">
        <v>2.99</v>
      </c>
      <c r="P63" s="83"/>
      <c r="Q63" s="80">
        <f>SUM(R63:X63)</f>
        <v>178.79000000000002</v>
      </c>
      <c r="R63" s="137">
        <v>67.3</v>
      </c>
      <c r="S63" s="137">
        <v>108.5</v>
      </c>
      <c r="T63" s="138"/>
      <c r="U63" s="138"/>
      <c r="V63" s="138"/>
      <c r="W63" s="138"/>
      <c r="X63" s="137">
        <v>2.99</v>
      </c>
      <c r="Y63" s="83"/>
      <c r="Z63" s="112">
        <f aca="true" t="shared" si="36" ref="Z63:Z70">SUM(AA63:AH63)</f>
        <v>178.79000000000002</v>
      </c>
      <c r="AA63" s="157">
        <v>67.3</v>
      </c>
      <c r="AB63" s="157">
        <v>108.5</v>
      </c>
      <c r="AC63" s="157"/>
      <c r="AD63" s="157"/>
      <c r="AE63" s="157"/>
      <c r="AF63" s="157"/>
      <c r="AG63" s="157">
        <v>2.99</v>
      </c>
      <c r="AH63" s="109"/>
    </row>
    <row r="64" spans="1:34" s="130" customFormat="1" ht="12" customHeight="1" hidden="1" outlineLevel="1">
      <c r="A64" s="10"/>
      <c r="B64" s="46"/>
      <c r="C64" s="100"/>
      <c r="D64" s="100"/>
      <c r="E64" s="81">
        <v>2</v>
      </c>
      <c r="F64" s="116">
        <v>17</v>
      </c>
      <c r="G64" s="116">
        <v>17</v>
      </c>
      <c r="H64" s="80">
        <f t="shared" si="35"/>
        <v>202.288</v>
      </c>
      <c r="I64" s="263">
        <v>43.2</v>
      </c>
      <c r="J64" s="48">
        <v>24.8</v>
      </c>
      <c r="K64" s="48">
        <v>6</v>
      </c>
      <c r="L64" s="48">
        <v>60</v>
      </c>
      <c r="M64" s="48"/>
      <c r="N64" s="48">
        <v>60</v>
      </c>
      <c r="O64" s="83">
        <v>8.288</v>
      </c>
      <c r="P64" s="83"/>
      <c r="Q64" s="80">
        <f aca="true" t="shared" si="37" ref="Q64:Q70">SUM(R64:X64)</f>
        <v>153.86</v>
      </c>
      <c r="R64" s="137">
        <v>43.2</v>
      </c>
      <c r="S64" s="137">
        <v>24.8</v>
      </c>
      <c r="T64" s="138"/>
      <c r="U64" s="137">
        <v>1.8</v>
      </c>
      <c r="V64" s="137">
        <v>63</v>
      </c>
      <c r="W64" s="137">
        <v>14.4</v>
      </c>
      <c r="X64" s="137">
        <v>6.66</v>
      </c>
      <c r="Y64" s="83"/>
      <c r="Z64" s="112">
        <f t="shared" si="36"/>
        <v>153.86</v>
      </c>
      <c r="AA64" s="157">
        <v>43.2</v>
      </c>
      <c r="AB64" s="157">
        <v>24.8</v>
      </c>
      <c r="AC64" s="157"/>
      <c r="AD64" s="157">
        <v>1.8</v>
      </c>
      <c r="AE64" s="157">
        <v>63</v>
      </c>
      <c r="AF64" s="157">
        <v>14.4</v>
      </c>
      <c r="AG64" s="157">
        <v>6.66</v>
      </c>
      <c r="AH64" s="109"/>
    </row>
    <row r="65" spans="1:34" s="130" customFormat="1" ht="12" customHeight="1" hidden="1" outlineLevel="1">
      <c r="A65" s="10"/>
      <c r="B65" s="46"/>
      <c r="C65" s="139">
        <f>Z62*0.65</f>
        <v>1142.0968</v>
      </c>
      <c r="D65" s="96"/>
      <c r="E65" s="81">
        <v>3</v>
      </c>
      <c r="F65" s="116">
        <v>113</v>
      </c>
      <c r="G65" s="116">
        <v>113</v>
      </c>
      <c r="H65" s="80">
        <f t="shared" si="35"/>
        <v>462.61</v>
      </c>
      <c r="I65" s="263">
        <v>180</v>
      </c>
      <c r="J65" s="48">
        <v>202.8</v>
      </c>
      <c r="K65" s="48"/>
      <c r="L65" s="48">
        <v>64.8</v>
      </c>
      <c r="M65" s="48"/>
      <c r="N65" s="48"/>
      <c r="O65" s="83">
        <v>15.01</v>
      </c>
      <c r="P65" s="83"/>
      <c r="Q65" s="80">
        <f t="shared" si="37"/>
        <v>462.61</v>
      </c>
      <c r="R65" s="137">
        <v>180</v>
      </c>
      <c r="S65" s="137">
        <v>202.8</v>
      </c>
      <c r="T65" s="138"/>
      <c r="U65" s="137">
        <v>64.8</v>
      </c>
      <c r="V65" s="138"/>
      <c r="W65" s="138"/>
      <c r="X65" s="137">
        <v>15.01</v>
      </c>
      <c r="Y65" s="83"/>
      <c r="Z65" s="112">
        <f t="shared" si="36"/>
        <v>462.61</v>
      </c>
      <c r="AA65" s="157">
        <v>180</v>
      </c>
      <c r="AB65" s="157">
        <v>202.8</v>
      </c>
      <c r="AC65" s="157"/>
      <c r="AD65" s="157">
        <v>64.8</v>
      </c>
      <c r="AE65" s="157"/>
      <c r="AF65" s="157"/>
      <c r="AG65" s="157">
        <v>15.01</v>
      </c>
      <c r="AH65" s="109"/>
    </row>
    <row r="66" spans="1:34" s="130" customFormat="1" ht="12" customHeight="1" hidden="1" outlineLevel="1">
      <c r="A66" s="10"/>
      <c r="B66" s="46"/>
      <c r="C66" s="140">
        <f>Z62-C65</f>
        <v>614.9751999999999</v>
      </c>
      <c r="D66" s="96"/>
      <c r="E66" s="81">
        <v>4</v>
      </c>
      <c r="F66" s="116">
        <v>33</v>
      </c>
      <c r="G66" s="116">
        <v>33</v>
      </c>
      <c r="H66" s="80">
        <f t="shared" si="35"/>
        <v>146.053</v>
      </c>
      <c r="I66" s="263">
        <v>61.2</v>
      </c>
      <c r="J66" s="48">
        <v>67</v>
      </c>
      <c r="K66" s="48"/>
      <c r="L66" s="48">
        <v>14.4</v>
      </c>
      <c r="M66" s="48"/>
      <c r="N66" s="48"/>
      <c r="O66" s="83">
        <v>3.453</v>
      </c>
      <c r="P66" s="83"/>
      <c r="Q66" s="80">
        <f t="shared" si="37"/>
        <v>146.953</v>
      </c>
      <c r="R66" s="137">
        <v>61.2</v>
      </c>
      <c r="S66" s="137">
        <v>67</v>
      </c>
      <c r="T66" s="138"/>
      <c r="U66" s="137">
        <v>14.4</v>
      </c>
      <c r="V66" s="138"/>
      <c r="W66" s="138"/>
      <c r="X66" s="137">
        <v>4.353</v>
      </c>
      <c r="Y66" s="83"/>
      <c r="Z66" s="112">
        <f t="shared" si="36"/>
        <v>146.953</v>
      </c>
      <c r="AA66" s="157">
        <v>61.2</v>
      </c>
      <c r="AB66" s="157">
        <v>67</v>
      </c>
      <c r="AC66" s="157"/>
      <c r="AD66" s="157">
        <v>14.4</v>
      </c>
      <c r="AE66" s="157"/>
      <c r="AF66" s="157"/>
      <c r="AG66" s="157">
        <v>4.353</v>
      </c>
      <c r="AH66" s="109"/>
    </row>
    <row r="67" spans="1:34" s="130" customFormat="1" ht="12" customHeight="1" hidden="1" outlineLevel="1">
      <c r="A67" s="10"/>
      <c r="B67" s="46"/>
      <c r="C67" s="46"/>
      <c r="D67" s="46"/>
      <c r="E67" s="81">
        <v>5</v>
      </c>
      <c r="F67" s="116">
        <v>83</v>
      </c>
      <c r="G67" s="116">
        <v>83</v>
      </c>
      <c r="H67" s="80">
        <f t="shared" si="35"/>
        <v>458.17900000000003</v>
      </c>
      <c r="I67" s="263">
        <v>36</v>
      </c>
      <c r="J67" s="48">
        <v>343.8</v>
      </c>
      <c r="K67" s="48"/>
      <c r="L67" s="48">
        <v>72</v>
      </c>
      <c r="M67" s="48"/>
      <c r="N67" s="48"/>
      <c r="O67" s="83">
        <v>6.379</v>
      </c>
      <c r="P67" s="83"/>
      <c r="Q67" s="80">
        <f t="shared" si="37"/>
        <v>458.17900000000003</v>
      </c>
      <c r="R67" s="137">
        <v>36</v>
      </c>
      <c r="S67" s="137">
        <v>343.8</v>
      </c>
      <c r="T67" s="138"/>
      <c r="U67" s="137">
        <v>72</v>
      </c>
      <c r="V67" s="138"/>
      <c r="W67" s="138"/>
      <c r="X67" s="137">
        <v>6.379</v>
      </c>
      <c r="Y67" s="83"/>
      <c r="Z67" s="112">
        <f t="shared" si="36"/>
        <v>458.17900000000003</v>
      </c>
      <c r="AA67" s="157">
        <v>36</v>
      </c>
      <c r="AB67" s="157">
        <v>343.8</v>
      </c>
      <c r="AC67" s="157"/>
      <c r="AD67" s="157">
        <v>72</v>
      </c>
      <c r="AE67" s="157"/>
      <c r="AF67" s="157"/>
      <c r="AG67" s="157">
        <v>6.379</v>
      </c>
      <c r="AH67" s="109"/>
    </row>
    <row r="68" spans="1:34" s="130" customFormat="1" ht="12" customHeight="1" hidden="1" outlineLevel="1">
      <c r="A68" s="10"/>
      <c r="B68" s="46"/>
      <c r="C68" s="105">
        <f>1553.9/Z62</f>
        <v>0.8843689956928346</v>
      </c>
      <c r="D68" s="105"/>
      <c r="E68" s="81">
        <v>6</v>
      </c>
      <c r="F68" s="116">
        <v>28</v>
      </c>
      <c r="G68" s="116">
        <v>28</v>
      </c>
      <c r="H68" s="80">
        <f t="shared" si="35"/>
        <v>163.88</v>
      </c>
      <c r="I68" s="263">
        <v>21.6</v>
      </c>
      <c r="J68" s="48">
        <v>140.4</v>
      </c>
      <c r="K68" s="48"/>
      <c r="L68" s="48" t="s">
        <v>480</v>
      </c>
      <c r="M68" s="48"/>
      <c r="N68" s="48"/>
      <c r="O68" s="83">
        <v>1.88</v>
      </c>
      <c r="P68" s="83"/>
      <c r="Q68" s="80">
        <f t="shared" si="37"/>
        <v>163.8</v>
      </c>
      <c r="R68" s="137">
        <v>21.6</v>
      </c>
      <c r="S68" s="137">
        <v>140.4</v>
      </c>
      <c r="T68" s="138"/>
      <c r="U68" s="138"/>
      <c r="V68" s="138"/>
      <c r="W68" s="138"/>
      <c r="X68" s="137">
        <v>1.8</v>
      </c>
      <c r="Y68" s="83"/>
      <c r="Z68" s="112">
        <f t="shared" si="36"/>
        <v>163.8</v>
      </c>
      <c r="AA68" s="157">
        <v>21.6</v>
      </c>
      <c r="AB68" s="157">
        <v>140.4</v>
      </c>
      <c r="AC68" s="157"/>
      <c r="AD68" s="157"/>
      <c r="AE68" s="157"/>
      <c r="AF68" s="157"/>
      <c r="AG68" s="157">
        <v>1.8</v>
      </c>
      <c r="AH68" s="109"/>
    </row>
    <row r="69" spans="1:34" s="130" customFormat="1" ht="12" customHeight="1" hidden="1" outlineLevel="1">
      <c r="A69" s="10"/>
      <c r="B69" s="46"/>
      <c r="C69" s="46"/>
      <c r="D69" s="46"/>
      <c r="E69" s="81">
        <v>7</v>
      </c>
      <c r="F69" s="116">
        <v>18</v>
      </c>
      <c r="G69" s="116">
        <v>18</v>
      </c>
      <c r="H69" s="80">
        <f t="shared" si="35"/>
        <v>105.821</v>
      </c>
      <c r="I69" s="263">
        <v>21.6</v>
      </c>
      <c r="J69" s="48">
        <v>63.6</v>
      </c>
      <c r="K69" s="48">
        <v>11</v>
      </c>
      <c r="L69" s="48"/>
      <c r="M69" s="48"/>
      <c r="N69" s="48">
        <v>7.5</v>
      </c>
      <c r="O69" s="83">
        <v>2.121</v>
      </c>
      <c r="P69" s="83"/>
      <c r="Q69" s="80">
        <f t="shared" si="37"/>
        <v>105.86</v>
      </c>
      <c r="R69" s="137">
        <v>29.1</v>
      </c>
      <c r="S69" s="137">
        <v>63.6</v>
      </c>
      <c r="T69" s="137">
        <v>11</v>
      </c>
      <c r="U69" s="138"/>
      <c r="V69" s="138"/>
      <c r="W69" s="138"/>
      <c r="X69" s="137">
        <v>2.16</v>
      </c>
      <c r="Y69" s="83"/>
      <c r="Z69" s="112">
        <f t="shared" si="36"/>
        <v>105.86</v>
      </c>
      <c r="AA69" s="157">
        <v>29.1</v>
      </c>
      <c r="AB69" s="157">
        <v>63.6</v>
      </c>
      <c r="AC69" s="157">
        <v>11</v>
      </c>
      <c r="AD69" s="157"/>
      <c r="AE69" s="157"/>
      <c r="AF69" s="157"/>
      <c r="AG69" s="157">
        <v>2.16</v>
      </c>
      <c r="AH69" s="109"/>
    </row>
    <row r="70" spans="1:34" s="130" customFormat="1" ht="12" customHeight="1" hidden="1" outlineLevel="1">
      <c r="A70" s="10"/>
      <c r="B70" s="46"/>
      <c r="C70" s="46"/>
      <c r="D70" s="46"/>
      <c r="E70" s="81">
        <v>8</v>
      </c>
      <c r="F70" s="116">
        <v>31.5</v>
      </c>
      <c r="G70" s="116">
        <v>22.7</v>
      </c>
      <c r="H70" s="80">
        <f t="shared" si="35"/>
        <v>132.379</v>
      </c>
      <c r="I70" s="263">
        <v>86.4</v>
      </c>
      <c r="J70" s="48">
        <v>32.1</v>
      </c>
      <c r="K70" s="48"/>
      <c r="L70" s="48"/>
      <c r="M70" s="48">
        <v>8</v>
      </c>
      <c r="N70" s="48"/>
      <c r="O70" s="83">
        <v>5.879</v>
      </c>
      <c r="P70" s="83"/>
      <c r="Q70" s="80">
        <f t="shared" si="37"/>
        <v>87.02</v>
      </c>
      <c r="R70" s="137">
        <v>58.32</v>
      </c>
      <c r="S70" s="137">
        <v>25.1</v>
      </c>
      <c r="T70" s="138"/>
      <c r="U70" s="138"/>
      <c r="V70" s="138"/>
      <c r="W70" s="138"/>
      <c r="X70" s="137">
        <v>3.6</v>
      </c>
      <c r="Y70" s="83"/>
      <c r="Z70" s="112">
        <f t="shared" si="36"/>
        <v>87.02</v>
      </c>
      <c r="AA70" s="157">
        <v>58.32</v>
      </c>
      <c r="AB70" s="157">
        <v>25.1</v>
      </c>
      <c r="AC70" s="157"/>
      <c r="AD70" s="157"/>
      <c r="AE70" s="157"/>
      <c r="AF70" s="157"/>
      <c r="AG70" s="157">
        <v>3.6</v>
      </c>
      <c r="AH70" s="109"/>
    </row>
    <row r="71" spans="1:34" s="129" customFormat="1" ht="12" customHeight="1" hidden="1" outlineLevel="1">
      <c r="A71" s="98"/>
      <c r="B71" s="46"/>
      <c r="C71" s="46"/>
      <c r="D71" s="46"/>
      <c r="E71" s="81" t="s">
        <v>471</v>
      </c>
      <c r="F71" s="126"/>
      <c r="G71" s="81"/>
      <c r="H71" s="99">
        <f>H62/$H$62</f>
        <v>1</v>
      </c>
      <c r="I71" s="261">
        <f aca="true" t="shared" si="38" ref="I71:P71">I62/$H$62</f>
        <v>0.2796216216216217</v>
      </c>
      <c r="J71" s="99">
        <f t="shared" si="38"/>
        <v>0.5313513513513514</v>
      </c>
      <c r="K71" s="99">
        <f t="shared" si="38"/>
        <v>0.009189189189189189</v>
      </c>
      <c r="L71" s="99">
        <f t="shared" si="38"/>
        <v>0.11416216216216216</v>
      </c>
      <c r="M71" s="99">
        <f t="shared" si="38"/>
        <v>0.004324324324324324</v>
      </c>
      <c r="N71" s="99">
        <f t="shared" si="38"/>
        <v>0.03648648648648649</v>
      </c>
      <c r="O71" s="99">
        <f t="shared" si="38"/>
        <v>0.024864864864864864</v>
      </c>
      <c r="P71" s="99">
        <f t="shared" si="38"/>
        <v>0</v>
      </c>
      <c r="Q71" s="99">
        <f>Q62/$Q$62</f>
        <v>1</v>
      </c>
      <c r="R71" s="99">
        <f aca="true" t="shared" si="39" ref="R71:Y71">R62/$Q$62</f>
        <v>0.28269757869910855</v>
      </c>
      <c r="S71" s="99">
        <f t="shared" si="39"/>
        <v>0.5554695538942059</v>
      </c>
      <c r="T71" s="99">
        <f t="shared" si="39"/>
        <v>0.0062604150541355165</v>
      </c>
      <c r="U71" s="99">
        <f t="shared" si="39"/>
        <v>0.08707668211661218</v>
      </c>
      <c r="V71" s="99">
        <f t="shared" si="39"/>
        <v>0.03585510440095796</v>
      </c>
      <c r="W71" s="99">
        <f t="shared" si="39"/>
        <v>0.008195452434504676</v>
      </c>
      <c r="X71" s="99">
        <f t="shared" si="39"/>
        <v>0.024445213400475334</v>
      </c>
      <c r="Y71" s="99">
        <f t="shared" si="39"/>
        <v>0</v>
      </c>
      <c r="Z71" s="99">
        <f>Z62/$Z$62</f>
        <v>1</v>
      </c>
      <c r="AA71" s="99">
        <f aca="true" t="shared" si="40" ref="AA71:AH71">AA62/$Z$62</f>
        <v>0.28269757869910855</v>
      </c>
      <c r="AB71" s="99">
        <f t="shared" si="40"/>
        <v>0.5554695538942059</v>
      </c>
      <c r="AC71" s="99">
        <f t="shared" si="40"/>
        <v>0.0062604150541355165</v>
      </c>
      <c r="AD71" s="99">
        <f t="shared" si="40"/>
        <v>0.08707668211661218</v>
      </c>
      <c r="AE71" s="99">
        <f t="shared" si="40"/>
        <v>0.03585510440095796</v>
      </c>
      <c r="AF71" s="99">
        <f t="shared" si="40"/>
        <v>0.008195452434504676</v>
      </c>
      <c r="AG71" s="99">
        <f t="shared" si="40"/>
        <v>0.024445213400475334</v>
      </c>
      <c r="AH71" s="99">
        <f t="shared" si="40"/>
        <v>0</v>
      </c>
    </row>
    <row r="72" spans="1:34" s="129" customFormat="1" ht="12" customHeight="1" hidden="1" outlineLevel="1">
      <c r="A72" s="98"/>
      <c r="B72" s="46"/>
      <c r="C72" s="46"/>
      <c r="D72" s="46"/>
      <c r="E72" s="81" t="s">
        <v>472</v>
      </c>
      <c r="F72" s="126"/>
      <c r="G72" s="81"/>
      <c r="H72" s="99"/>
      <c r="I72" s="261"/>
      <c r="J72" s="99"/>
      <c r="K72" s="99"/>
      <c r="L72" s="99"/>
      <c r="M72" s="99"/>
      <c r="N72" s="99"/>
      <c r="O72" s="99"/>
      <c r="P72" s="99"/>
      <c r="Q72" s="65">
        <f aca="true" t="shared" si="41" ref="Q72:AH72">Q62-H62</f>
        <v>-92.92800000000011</v>
      </c>
      <c r="R72" s="65">
        <f t="shared" si="41"/>
        <v>-20.58000000000004</v>
      </c>
      <c r="S72" s="65">
        <f t="shared" si="41"/>
        <v>-7</v>
      </c>
      <c r="T72" s="65">
        <f t="shared" si="41"/>
        <v>-6</v>
      </c>
      <c r="U72" s="65">
        <f t="shared" si="41"/>
        <v>-58.19999999999999</v>
      </c>
      <c r="V72" s="65">
        <f t="shared" si="41"/>
        <v>55</v>
      </c>
      <c r="W72" s="65">
        <f t="shared" si="41"/>
        <v>-53.1</v>
      </c>
      <c r="X72" s="65">
        <f t="shared" si="41"/>
        <v>-3.048000000000009</v>
      </c>
      <c r="Y72" s="65">
        <f t="shared" si="41"/>
        <v>0</v>
      </c>
      <c r="Z72" s="65">
        <f t="shared" si="41"/>
        <v>0</v>
      </c>
      <c r="AA72" s="65">
        <f t="shared" si="41"/>
        <v>0</v>
      </c>
      <c r="AB72" s="65">
        <f t="shared" si="41"/>
        <v>0</v>
      </c>
      <c r="AC72" s="65">
        <f t="shared" si="41"/>
        <v>0</v>
      </c>
      <c r="AD72" s="65">
        <f t="shared" si="41"/>
        <v>0</v>
      </c>
      <c r="AE72" s="65">
        <f t="shared" si="41"/>
        <v>0</v>
      </c>
      <c r="AF72" s="65">
        <f t="shared" si="41"/>
        <v>0</v>
      </c>
      <c r="AG72" s="65">
        <f t="shared" si="41"/>
        <v>0</v>
      </c>
      <c r="AH72" s="65">
        <f t="shared" si="41"/>
        <v>0</v>
      </c>
    </row>
    <row r="73" spans="1:34" s="130" customFormat="1" ht="12" customHeight="1" hidden="1" outlineLevel="1">
      <c r="A73" s="10"/>
      <c r="B73" s="46"/>
      <c r="C73" s="46"/>
      <c r="D73" s="46"/>
      <c r="E73" s="43" t="s">
        <v>473</v>
      </c>
      <c r="F73" s="44"/>
      <c r="G73" s="43"/>
      <c r="H73" s="49"/>
      <c r="I73" s="262"/>
      <c r="J73" s="49"/>
      <c r="K73" s="49"/>
      <c r="L73" s="49"/>
      <c r="M73" s="49"/>
      <c r="N73" s="49"/>
      <c r="O73" s="49"/>
      <c r="P73" s="49"/>
      <c r="Q73" s="49"/>
      <c r="R73" s="49"/>
      <c r="S73" s="84"/>
      <c r="T73" s="49"/>
      <c r="U73" s="49"/>
      <c r="V73" s="49"/>
      <c r="W73" s="49"/>
      <c r="X73" s="49"/>
      <c r="Y73" s="49"/>
      <c r="Z73" s="90"/>
      <c r="AA73" s="90"/>
      <c r="AB73" s="90"/>
      <c r="AC73" s="90"/>
      <c r="AD73" s="90"/>
      <c r="AE73" s="90"/>
      <c r="AF73" s="90"/>
      <c r="AG73" s="90"/>
      <c r="AH73" s="90"/>
    </row>
    <row r="74" spans="1:133" s="56" customFormat="1" ht="12" customHeight="1" collapsed="1">
      <c r="A74" s="88">
        <v>10</v>
      </c>
      <c r="B74" s="106" t="s">
        <v>482</v>
      </c>
      <c r="C74" s="106" t="s">
        <v>676</v>
      </c>
      <c r="D74" s="106"/>
      <c r="E74" s="102"/>
      <c r="F74" s="115">
        <f>SUM(F75:F86)</f>
        <v>236.65</v>
      </c>
      <c r="G74" s="195"/>
      <c r="H74" s="111">
        <f aca="true" t="shared" si="42" ref="H74:Q74">SUM(H75:H86)</f>
        <v>999.1899999999999</v>
      </c>
      <c r="I74" s="259">
        <f t="shared" si="42"/>
        <v>0</v>
      </c>
      <c r="J74" s="111">
        <f t="shared" si="42"/>
        <v>496.8</v>
      </c>
      <c r="K74" s="111">
        <f t="shared" si="42"/>
        <v>30</v>
      </c>
      <c r="L74" s="111">
        <f t="shared" si="42"/>
        <v>391.14</v>
      </c>
      <c r="M74" s="111">
        <f t="shared" si="42"/>
        <v>9.25</v>
      </c>
      <c r="N74" s="111">
        <f t="shared" si="42"/>
        <v>24</v>
      </c>
      <c r="O74" s="111">
        <f t="shared" si="42"/>
        <v>48</v>
      </c>
      <c r="P74" s="111">
        <f t="shared" si="42"/>
        <v>0</v>
      </c>
      <c r="Q74" s="111">
        <f t="shared" si="42"/>
        <v>719.53</v>
      </c>
      <c r="R74" s="111">
        <f aca="true" t="shared" si="43" ref="R74:Y74">SUM(R75:R86)</f>
        <v>0</v>
      </c>
      <c r="S74" s="111">
        <f t="shared" si="43"/>
        <v>607.56</v>
      </c>
      <c r="T74" s="111">
        <f t="shared" si="43"/>
        <v>0</v>
      </c>
      <c r="U74" s="111">
        <f t="shared" si="43"/>
        <v>36.72</v>
      </c>
      <c r="V74" s="111">
        <f t="shared" si="43"/>
        <v>15.25</v>
      </c>
      <c r="W74" s="111">
        <f t="shared" si="43"/>
        <v>0</v>
      </c>
      <c r="X74" s="111">
        <f t="shared" si="43"/>
        <v>60</v>
      </c>
      <c r="Y74" s="111">
        <f t="shared" si="43"/>
        <v>0</v>
      </c>
      <c r="Z74" s="111">
        <f>SUM(Z75:Z86)</f>
        <v>719.53</v>
      </c>
      <c r="AA74" s="111">
        <f aca="true" t="shared" si="44" ref="AA74:AP74">SUM(AA75:AA86)</f>
        <v>0</v>
      </c>
      <c r="AB74" s="111">
        <f t="shared" si="44"/>
        <v>621.56</v>
      </c>
      <c r="AC74" s="111">
        <f t="shared" si="44"/>
        <v>0</v>
      </c>
      <c r="AD74" s="111">
        <f t="shared" si="44"/>
        <v>36.72</v>
      </c>
      <c r="AE74" s="111">
        <f t="shared" si="44"/>
        <v>15.25</v>
      </c>
      <c r="AF74" s="111">
        <f t="shared" si="44"/>
        <v>12</v>
      </c>
      <c r="AG74" s="111">
        <f t="shared" si="44"/>
        <v>34</v>
      </c>
      <c r="AH74" s="111">
        <f t="shared" si="44"/>
        <v>35.8</v>
      </c>
      <c r="AI74" s="111">
        <f>SUM(AJ74:AQ74)</f>
        <v>719530.02</v>
      </c>
      <c r="AJ74" s="111">
        <f t="shared" si="44"/>
        <v>341650.98</v>
      </c>
      <c r="AK74" s="111">
        <f t="shared" si="44"/>
        <v>207131.4</v>
      </c>
      <c r="AL74" s="111">
        <f t="shared" si="44"/>
        <v>0</v>
      </c>
      <c r="AM74" s="111">
        <f t="shared" si="44"/>
        <v>720</v>
      </c>
      <c r="AN74" s="111">
        <f t="shared" si="44"/>
        <v>15433.16</v>
      </c>
      <c r="AO74" s="111">
        <f t="shared" si="44"/>
        <v>12000</v>
      </c>
      <c r="AP74" s="111">
        <f t="shared" si="44"/>
        <v>35774.85</v>
      </c>
      <c r="AQ74" s="578">
        <v>106819.63</v>
      </c>
      <c r="AR74" s="578"/>
      <c r="AS74" s="65"/>
      <c r="AT74" s="59"/>
      <c r="AU74" s="41"/>
      <c r="AV74" s="41"/>
      <c r="AW74" s="11"/>
      <c r="AX74" s="11"/>
      <c r="AY74" s="11"/>
      <c r="AZ74" s="11"/>
      <c r="BA74" s="11"/>
      <c r="BB74" s="11"/>
      <c r="BC74" s="11"/>
      <c r="BD74" s="11"/>
      <c r="BE74" s="60"/>
      <c r="BF74" s="59"/>
      <c r="BG74" s="58"/>
      <c r="BH74" s="59"/>
      <c r="BI74" s="57"/>
      <c r="BJ74" s="60"/>
      <c r="BK74" s="59"/>
      <c r="BL74" s="93"/>
      <c r="BM74" s="61"/>
      <c r="BN74" s="61"/>
      <c r="BO74" s="59"/>
      <c r="BP74" s="18"/>
      <c r="BQ74" s="39"/>
      <c r="BR74" s="12"/>
      <c r="BS74" s="12"/>
      <c r="BT74" s="32"/>
      <c r="BU74" s="14"/>
      <c r="BV74" s="28"/>
      <c r="BW74" s="28"/>
      <c r="BX74" s="14"/>
      <c r="BY74" s="29"/>
      <c r="BZ74" s="14"/>
      <c r="CA74" s="16"/>
      <c r="CB74" s="31"/>
      <c r="CC74" s="13"/>
      <c r="CD74" s="28"/>
      <c r="CE74" s="13"/>
      <c r="CF74" s="17"/>
      <c r="CG74" s="5"/>
      <c r="CH74" s="22"/>
      <c r="CI74" s="22"/>
      <c r="CJ74" s="22"/>
      <c r="CK74" s="22"/>
      <c r="CL74" s="22"/>
      <c r="CM74" s="22"/>
      <c r="CN74" s="14"/>
      <c r="CO74" s="22"/>
      <c r="CP74" s="22"/>
      <c r="CQ74" s="22"/>
      <c r="CR74" s="22"/>
      <c r="CS74" s="22"/>
      <c r="CT74" s="22"/>
      <c r="CU74" s="30"/>
      <c r="CV74" s="22"/>
      <c r="CW74" s="22"/>
      <c r="CX74" s="22"/>
      <c r="CY74" s="22"/>
      <c r="CZ74" s="22"/>
      <c r="DA74" s="22"/>
      <c r="DB74" s="22"/>
      <c r="DC74" s="35"/>
      <c r="DD74" s="37"/>
      <c r="DE74" s="22"/>
      <c r="DF74" s="5"/>
      <c r="DG74" s="36"/>
      <c r="DH74" s="22"/>
      <c r="DI74" s="14"/>
      <c r="DJ74" s="14"/>
      <c r="DK74" s="23"/>
      <c r="DL74" s="19"/>
      <c r="DM74" s="19"/>
      <c r="DN74" s="15"/>
      <c r="DO74" s="131"/>
      <c r="DQ74" s="74"/>
      <c r="DR74" s="94"/>
      <c r="DS74" s="132"/>
      <c r="DT74" s="75"/>
      <c r="DU74" s="94"/>
      <c r="DV74" s="133"/>
      <c r="DW74" s="94"/>
      <c r="DX74" s="62"/>
      <c r="DZ74" s="75"/>
      <c r="EC74" s="62"/>
    </row>
    <row r="75" spans="1:44" s="130" customFormat="1" ht="12" customHeight="1" hidden="1" outlineLevel="1">
      <c r="A75" s="10"/>
      <c r="B75" s="46"/>
      <c r="C75" s="162" t="s">
        <v>678</v>
      </c>
      <c r="D75" s="107"/>
      <c r="E75" s="81">
        <v>1</v>
      </c>
      <c r="F75" s="196">
        <v>2</v>
      </c>
      <c r="H75" s="80">
        <f>SUM(I75:O75)</f>
        <v>7.2</v>
      </c>
      <c r="I75" s="263"/>
      <c r="J75" s="108">
        <v>7.2</v>
      </c>
      <c r="K75" s="108"/>
      <c r="L75" s="108"/>
      <c r="M75" s="108"/>
      <c r="N75" s="108"/>
      <c r="O75" s="109"/>
      <c r="P75" s="109"/>
      <c r="Q75" s="112">
        <f>SUM(R75:Y75)</f>
        <v>12.600000000000001</v>
      </c>
      <c r="R75" s="112"/>
      <c r="S75" s="110">
        <f>7.2+5.4</f>
        <v>12.600000000000001</v>
      </c>
      <c r="T75" s="112"/>
      <c r="U75" s="112"/>
      <c r="V75" s="112"/>
      <c r="W75" s="112"/>
      <c r="X75" s="112"/>
      <c r="Y75" s="112"/>
      <c r="Z75" s="112">
        <f>SUM(AA75:AG75)</f>
        <v>13.600000000000001</v>
      </c>
      <c r="AA75" s="112"/>
      <c r="AB75" s="110">
        <f>7.2+5.4</f>
        <v>12.600000000000001</v>
      </c>
      <c r="AC75" s="112"/>
      <c r="AD75" s="112"/>
      <c r="AE75" s="112"/>
      <c r="AF75" s="112"/>
      <c r="AG75" s="219">
        <v>1</v>
      </c>
      <c r="AH75" s="112"/>
      <c r="AI75" s="112">
        <f>SUM(AJ75:AP75)</f>
        <v>6477.6900000000005</v>
      </c>
      <c r="AJ75" s="572">
        <v>5760</v>
      </c>
      <c r="AK75" s="573" t="s">
        <v>1226</v>
      </c>
      <c r="AL75" s="573" t="s">
        <v>1226</v>
      </c>
      <c r="AM75" s="573" t="s">
        <v>1226</v>
      </c>
      <c r="AN75" s="573" t="s">
        <v>1226</v>
      </c>
      <c r="AO75" s="573" t="s">
        <v>1226</v>
      </c>
      <c r="AP75" s="573">
        <v>717.69</v>
      </c>
      <c r="AQ75" s="657"/>
      <c r="AR75" s="657"/>
    </row>
    <row r="76" spans="1:42" s="130" customFormat="1" ht="12" customHeight="1" hidden="1" outlineLevel="1">
      <c r="A76" s="10"/>
      <c r="B76" s="46"/>
      <c r="C76" s="163" t="s">
        <v>679</v>
      </c>
      <c r="D76" s="100"/>
      <c r="E76" s="81">
        <v>2</v>
      </c>
      <c r="F76" s="196">
        <v>6</v>
      </c>
      <c r="H76" s="80">
        <f aca="true" t="shared" si="45" ref="H76:H86">SUM(I76:O76)</f>
        <v>21.6</v>
      </c>
      <c r="I76" s="262"/>
      <c r="J76" s="108">
        <v>21.6</v>
      </c>
      <c r="K76" s="108"/>
      <c r="L76" s="108"/>
      <c r="M76" s="108"/>
      <c r="N76" s="108"/>
      <c r="O76" s="109"/>
      <c r="P76" s="109"/>
      <c r="Q76" s="112">
        <f aca="true" t="shared" si="46" ref="Q76:Q86">SUM(R76:Y76)</f>
        <v>21.6</v>
      </c>
      <c r="R76" s="108"/>
      <c r="S76" s="108">
        <v>21.6</v>
      </c>
      <c r="T76" s="108"/>
      <c r="U76" s="108"/>
      <c r="V76" s="108"/>
      <c r="W76" s="108"/>
      <c r="X76" s="109"/>
      <c r="Y76" s="109"/>
      <c r="Z76" s="112">
        <f aca="true" t="shared" si="47" ref="Z76:Z86">SUM(AA76:AG76)</f>
        <v>22.6</v>
      </c>
      <c r="AA76" s="108"/>
      <c r="AB76" s="108">
        <v>21.6</v>
      </c>
      <c r="AC76" s="108"/>
      <c r="AD76" s="108"/>
      <c r="AE76" s="108"/>
      <c r="AF76" s="108"/>
      <c r="AG76" s="141">
        <v>1</v>
      </c>
      <c r="AH76" s="109"/>
      <c r="AI76" s="112">
        <f aca="true" t="shared" si="48" ref="AI76:AI86">SUM(AJ76:AP76)</f>
        <v>19000</v>
      </c>
      <c r="AJ76" s="574">
        <v>12514</v>
      </c>
      <c r="AK76" s="575">
        <v>5400</v>
      </c>
      <c r="AL76" s="576" t="s">
        <v>1226</v>
      </c>
      <c r="AM76" s="576" t="s">
        <v>1226</v>
      </c>
      <c r="AN76" s="576" t="s">
        <v>1226</v>
      </c>
      <c r="AO76" s="576" t="s">
        <v>1226</v>
      </c>
      <c r="AP76" s="575">
        <v>1086</v>
      </c>
    </row>
    <row r="77" spans="1:42" s="130" customFormat="1" ht="12" customHeight="1" hidden="1" outlineLevel="1">
      <c r="A77" s="10"/>
      <c r="B77" s="46"/>
      <c r="C77" s="96">
        <f>Z74*0.65*1000</f>
        <v>467694.5</v>
      </c>
      <c r="D77" s="96"/>
      <c r="E77" s="81">
        <v>3</v>
      </c>
      <c r="F77" s="196">
        <v>8.5</v>
      </c>
      <c r="H77" s="80">
        <f t="shared" si="45"/>
        <v>30.6</v>
      </c>
      <c r="I77" s="262"/>
      <c r="J77" s="108">
        <v>30.6</v>
      </c>
      <c r="K77" s="108"/>
      <c r="L77" s="108"/>
      <c r="M77" s="108"/>
      <c r="N77" s="108"/>
      <c r="O77" s="109"/>
      <c r="P77" s="109"/>
      <c r="Q77" s="112">
        <f t="shared" si="46"/>
        <v>15.3</v>
      </c>
      <c r="R77" s="108"/>
      <c r="S77" s="108">
        <v>15.3</v>
      </c>
      <c r="T77" s="108"/>
      <c r="U77" s="108"/>
      <c r="V77" s="108"/>
      <c r="W77" s="108"/>
      <c r="X77" s="109"/>
      <c r="Y77" s="109"/>
      <c r="Z77" s="112">
        <f t="shared" si="47"/>
        <v>16.3</v>
      </c>
      <c r="AA77" s="108"/>
      <c r="AB77" s="108">
        <v>15.3</v>
      </c>
      <c r="AC77" s="108"/>
      <c r="AD77" s="108"/>
      <c r="AE77" s="108"/>
      <c r="AF77" s="108"/>
      <c r="AG77" s="141">
        <v>1</v>
      </c>
      <c r="AH77" s="109"/>
      <c r="AI77" s="112">
        <f t="shared" si="48"/>
        <v>11902</v>
      </c>
      <c r="AJ77" s="574">
        <v>10462</v>
      </c>
      <c r="AK77" s="575">
        <v>1440</v>
      </c>
      <c r="AL77" s="576" t="s">
        <v>1226</v>
      </c>
      <c r="AM77" s="576" t="s">
        <v>1226</v>
      </c>
      <c r="AN77" s="576" t="s">
        <v>1226</v>
      </c>
      <c r="AO77" s="576" t="s">
        <v>1226</v>
      </c>
      <c r="AP77" s="576" t="s">
        <v>1226</v>
      </c>
    </row>
    <row r="78" spans="1:42" s="130" customFormat="1" ht="12" customHeight="1" hidden="1" outlineLevel="1">
      <c r="A78" s="10"/>
      <c r="B78" s="46"/>
      <c r="C78" s="96">
        <f>Z74*1000-C77</f>
        <v>251835.5</v>
      </c>
      <c r="D78" s="96"/>
      <c r="E78" s="81">
        <v>4</v>
      </c>
      <c r="F78" s="196">
        <v>16.75</v>
      </c>
      <c r="H78" s="80">
        <f t="shared" si="45"/>
        <v>60.3</v>
      </c>
      <c r="I78" s="262"/>
      <c r="J78" s="108"/>
      <c r="K78" s="108"/>
      <c r="L78" s="108">
        <v>60.3</v>
      </c>
      <c r="M78" s="108"/>
      <c r="N78" s="108"/>
      <c r="O78" s="109"/>
      <c r="P78" s="109"/>
      <c r="Q78" s="112">
        <f t="shared" si="46"/>
        <v>30.06</v>
      </c>
      <c r="R78" s="108"/>
      <c r="S78" s="108">
        <v>30.06</v>
      </c>
      <c r="T78" s="108"/>
      <c r="U78" s="108"/>
      <c r="V78" s="108"/>
      <c r="W78" s="108"/>
      <c r="X78" s="109"/>
      <c r="Y78" s="109"/>
      <c r="Z78" s="112">
        <f t="shared" si="47"/>
        <v>31.06</v>
      </c>
      <c r="AA78" s="108"/>
      <c r="AB78" s="108">
        <v>30.06</v>
      </c>
      <c r="AC78" s="108"/>
      <c r="AD78" s="108"/>
      <c r="AE78" s="108"/>
      <c r="AF78" s="108"/>
      <c r="AG78" s="141">
        <v>1</v>
      </c>
      <c r="AH78" s="109"/>
      <c r="AI78" s="112">
        <f t="shared" si="48"/>
        <v>23582</v>
      </c>
      <c r="AJ78" s="574">
        <v>20702</v>
      </c>
      <c r="AK78" s="575">
        <v>2880</v>
      </c>
      <c r="AL78" s="576" t="s">
        <v>1226</v>
      </c>
      <c r="AM78" s="576" t="s">
        <v>1226</v>
      </c>
      <c r="AN78" s="576" t="s">
        <v>1226</v>
      </c>
      <c r="AO78" s="576" t="s">
        <v>1226</v>
      </c>
      <c r="AP78" s="576" t="s">
        <v>1226</v>
      </c>
    </row>
    <row r="79" spans="1:42" s="130" customFormat="1" ht="12" customHeight="1" hidden="1" outlineLevel="1">
      <c r="A79" s="10"/>
      <c r="B79" s="46"/>
      <c r="C79" s="162" t="s">
        <v>680</v>
      </c>
      <c r="D79" s="46"/>
      <c r="E79" s="81">
        <v>5</v>
      </c>
      <c r="F79" s="196">
        <v>20</v>
      </c>
      <c r="H79" s="80">
        <f t="shared" si="45"/>
        <v>102</v>
      </c>
      <c r="I79" s="262"/>
      <c r="J79" s="108"/>
      <c r="K79" s="108">
        <v>30</v>
      </c>
      <c r="L79" s="108">
        <v>72</v>
      </c>
      <c r="M79" s="108"/>
      <c r="N79" s="108"/>
      <c r="O79" s="109"/>
      <c r="P79" s="109"/>
      <c r="Q79" s="112">
        <f t="shared" si="46"/>
        <v>102</v>
      </c>
      <c r="R79" s="198"/>
      <c r="S79" s="198">
        <f>19.8+52.2</f>
        <v>72</v>
      </c>
      <c r="T79" s="198"/>
      <c r="U79" s="198">
        <v>30</v>
      </c>
      <c r="V79" s="109"/>
      <c r="W79" s="112"/>
      <c r="X79" s="108"/>
      <c r="Y79" s="109"/>
      <c r="Z79" s="112">
        <f t="shared" si="47"/>
        <v>103</v>
      </c>
      <c r="AA79" s="198"/>
      <c r="AB79" s="198">
        <f>19.8+52.2</f>
        <v>72</v>
      </c>
      <c r="AC79" s="198"/>
      <c r="AD79" s="198">
        <v>30</v>
      </c>
      <c r="AE79" s="109"/>
      <c r="AF79" s="112"/>
      <c r="AG79" s="201">
        <v>1</v>
      </c>
      <c r="AH79" s="109"/>
      <c r="AI79" s="112">
        <f t="shared" si="48"/>
        <v>92480</v>
      </c>
      <c r="AJ79" s="574">
        <v>70880</v>
      </c>
      <c r="AK79" s="575">
        <v>21600</v>
      </c>
      <c r="AL79" s="576" t="s">
        <v>1226</v>
      </c>
      <c r="AM79" s="576" t="s">
        <v>1226</v>
      </c>
      <c r="AN79" s="576" t="s">
        <v>1226</v>
      </c>
      <c r="AO79" s="576" t="s">
        <v>1226</v>
      </c>
      <c r="AP79" s="576" t="s">
        <v>1226</v>
      </c>
    </row>
    <row r="80" spans="1:42" s="130" customFormat="1" ht="12" customHeight="1" hidden="1" outlineLevel="1">
      <c r="A80" s="10"/>
      <c r="B80" s="46"/>
      <c r="C80" s="185" t="s">
        <v>681</v>
      </c>
      <c r="D80" s="105"/>
      <c r="E80" s="81">
        <v>6</v>
      </c>
      <c r="F80" s="196">
        <v>29.25</v>
      </c>
      <c r="H80" s="80">
        <f t="shared" si="45"/>
        <v>105.3</v>
      </c>
      <c r="I80" s="262"/>
      <c r="J80" s="108"/>
      <c r="K80" s="108"/>
      <c r="L80" s="108">
        <v>105.3</v>
      </c>
      <c r="M80" s="108"/>
      <c r="N80" s="108"/>
      <c r="O80" s="109"/>
      <c r="P80" s="109"/>
      <c r="Q80" s="112">
        <f t="shared" si="46"/>
        <v>52.56</v>
      </c>
      <c r="R80" s="108"/>
      <c r="S80" s="108">
        <v>52.56</v>
      </c>
      <c r="T80" s="108"/>
      <c r="U80" s="108"/>
      <c r="V80" s="108"/>
      <c r="W80" s="108"/>
      <c r="X80" s="109"/>
      <c r="Y80" s="109"/>
      <c r="Z80" s="112">
        <f t="shared" si="47"/>
        <v>53.56</v>
      </c>
      <c r="AA80" s="108"/>
      <c r="AB80" s="108">
        <v>52.56</v>
      </c>
      <c r="AC80" s="108"/>
      <c r="AD80" s="108"/>
      <c r="AE80" s="108"/>
      <c r="AF80" s="108"/>
      <c r="AG80" s="141">
        <v>1</v>
      </c>
      <c r="AH80" s="109"/>
      <c r="AI80" s="112">
        <f t="shared" si="48"/>
        <v>42440</v>
      </c>
      <c r="AJ80" s="574">
        <v>29480</v>
      </c>
      <c r="AK80" s="575">
        <v>12960</v>
      </c>
      <c r="AL80" s="576" t="s">
        <v>1226</v>
      </c>
      <c r="AM80" s="576" t="s">
        <v>1226</v>
      </c>
      <c r="AN80" s="576" t="s">
        <v>1226</v>
      </c>
      <c r="AO80" s="576" t="s">
        <v>1226</v>
      </c>
      <c r="AP80" s="576" t="s">
        <v>1226</v>
      </c>
    </row>
    <row r="81" spans="1:42" s="130" customFormat="1" ht="12" customHeight="1" hidden="1" outlineLevel="1">
      <c r="A81" s="10"/>
      <c r="B81" s="46"/>
      <c r="C81" s="162" t="s">
        <v>682</v>
      </c>
      <c r="D81" s="46"/>
      <c r="E81" s="81">
        <v>7</v>
      </c>
      <c r="F81" s="196">
        <v>42.65</v>
      </c>
      <c r="H81" s="80">
        <f t="shared" si="45"/>
        <v>153.54</v>
      </c>
      <c r="I81" s="262"/>
      <c r="J81" s="108"/>
      <c r="K81" s="108"/>
      <c r="L81" s="108">
        <v>153.54</v>
      </c>
      <c r="M81" s="108"/>
      <c r="N81" s="108"/>
      <c r="O81" s="109"/>
      <c r="P81" s="109"/>
      <c r="Q81" s="112">
        <f t="shared" si="46"/>
        <v>76.67999999999999</v>
      </c>
      <c r="R81" s="108"/>
      <c r="S81" s="108">
        <v>75.96</v>
      </c>
      <c r="T81" s="108"/>
      <c r="U81" s="108">
        <v>0.72</v>
      </c>
      <c r="V81" s="108"/>
      <c r="W81" s="108"/>
      <c r="X81" s="109"/>
      <c r="Y81" s="109"/>
      <c r="Z81" s="112">
        <f t="shared" si="47"/>
        <v>77.67999999999999</v>
      </c>
      <c r="AA81" s="108"/>
      <c r="AB81" s="108">
        <v>75.96</v>
      </c>
      <c r="AC81" s="108"/>
      <c r="AD81" s="108">
        <v>0.72</v>
      </c>
      <c r="AE81" s="108"/>
      <c r="AF81" s="108"/>
      <c r="AG81" s="141">
        <v>1</v>
      </c>
      <c r="AH81" s="109"/>
      <c r="AI81" s="112">
        <f t="shared" si="48"/>
        <v>64066</v>
      </c>
      <c r="AJ81" s="574">
        <v>48766</v>
      </c>
      <c r="AK81" s="575">
        <v>14580</v>
      </c>
      <c r="AL81" s="576" t="s">
        <v>1226</v>
      </c>
      <c r="AM81" s="576">
        <v>720</v>
      </c>
      <c r="AN81" s="576" t="s">
        <v>1226</v>
      </c>
      <c r="AO81" s="576" t="s">
        <v>1226</v>
      </c>
      <c r="AP81" s="576" t="s">
        <v>1226</v>
      </c>
    </row>
    <row r="82" spans="1:42" s="130" customFormat="1" ht="12" customHeight="1" hidden="1" outlineLevel="1">
      <c r="A82" s="10"/>
      <c r="B82" s="46"/>
      <c r="C82" s="162" t="s">
        <v>683</v>
      </c>
      <c r="D82" s="46"/>
      <c r="E82" s="81">
        <v>8</v>
      </c>
      <c r="F82" s="196">
        <v>32</v>
      </c>
      <c r="H82" s="80">
        <f t="shared" si="45"/>
        <v>152.45</v>
      </c>
      <c r="I82" s="262"/>
      <c r="J82" s="108">
        <v>115.2</v>
      </c>
      <c r="K82" s="108"/>
      <c r="L82" s="108"/>
      <c r="M82" s="108">
        <v>9.25</v>
      </c>
      <c r="N82" s="108">
        <v>24</v>
      </c>
      <c r="O82" s="109">
        <v>4</v>
      </c>
      <c r="P82" s="109"/>
      <c r="Q82" s="112">
        <f t="shared" si="46"/>
        <v>152.45</v>
      </c>
      <c r="R82" s="108"/>
      <c r="S82" s="108">
        <v>115.2</v>
      </c>
      <c r="T82" s="108"/>
      <c r="U82" s="108">
        <v>6</v>
      </c>
      <c r="V82" s="108">
        <v>15.25</v>
      </c>
      <c r="W82" s="201"/>
      <c r="X82" s="109">
        <v>16</v>
      </c>
      <c r="Y82" s="109"/>
      <c r="Z82" s="200">
        <f t="shared" si="47"/>
        <v>152.45</v>
      </c>
      <c r="AA82" s="108"/>
      <c r="AB82" s="108">
        <v>115.2</v>
      </c>
      <c r="AC82" s="108"/>
      <c r="AD82" s="108">
        <v>6</v>
      </c>
      <c r="AE82" s="108">
        <v>15.25</v>
      </c>
      <c r="AF82" s="201">
        <v>12</v>
      </c>
      <c r="AG82" s="141">
        <v>4</v>
      </c>
      <c r="AH82" s="109"/>
      <c r="AI82" s="200">
        <f t="shared" si="48"/>
        <v>135815.9</v>
      </c>
      <c r="AJ82" s="574">
        <v>59942.98</v>
      </c>
      <c r="AK82" s="575">
        <v>44256.6</v>
      </c>
      <c r="AL82" s="576" t="s">
        <v>1226</v>
      </c>
      <c r="AM82" s="576" t="s">
        <v>1226</v>
      </c>
      <c r="AN82" s="575">
        <v>15433.16</v>
      </c>
      <c r="AO82" s="575">
        <v>12000</v>
      </c>
      <c r="AP82" s="575">
        <v>4183.16</v>
      </c>
    </row>
    <row r="83" spans="1:42" s="130" customFormat="1" ht="12" customHeight="1" hidden="1" outlineLevel="1">
      <c r="A83" s="10"/>
      <c r="B83" s="46"/>
      <c r="C83" s="162" t="s">
        <v>684</v>
      </c>
      <c r="D83" s="46"/>
      <c r="E83" s="81">
        <v>9</v>
      </c>
      <c r="F83" s="196">
        <v>0.5</v>
      </c>
      <c r="H83" s="80">
        <f t="shared" si="45"/>
        <v>45.8</v>
      </c>
      <c r="I83" s="262"/>
      <c r="J83" s="108">
        <v>1.8</v>
      </c>
      <c r="K83" s="108"/>
      <c r="L83" s="108"/>
      <c r="M83" s="108"/>
      <c r="N83" s="108"/>
      <c r="O83" s="109">
        <v>44</v>
      </c>
      <c r="P83" s="109"/>
      <c r="Q83" s="112">
        <f t="shared" si="46"/>
        <v>45.8</v>
      </c>
      <c r="R83" s="108"/>
      <c r="S83" s="108">
        <v>1.8</v>
      </c>
      <c r="T83" s="108"/>
      <c r="U83" s="108"/>
      <c r="V83" s="108"/>
      <c r="W83" s="108"/>
      <c r="X83" s="109">
        <v>44</v>
      </c>
      <c r="Y83" s="141"/>
      <c r="Z83" s="200">
        <f t="shared" si="47"/>
        <v>35.8</v>
      </c>
      <c r="AA83" s="108"/>
      <c r="AB83" s="201">
        <f>1.8+14</f>
        <v>15.8</v>
      </c>
      <c r="AC83" s="108"/>
      <c r="AD83" s="108"/>
      <c r="AE83" s="108"/>
      <c r="AF83" s="108"/>
      <c r="AG83" s="141">
        <v>20</v>
      </c>
      <c r="AH83" s="141">
        <f>Z83</f>
        <v>35.8</v>
      </c>
      <c r="AI83" s="200">
        <f t="shared" si="48"/>
        <v>22286</v>
      </c>
      <c r="AJ83" s="577" t="s">
        <v>1226</v>
      </c>
      <c r="AK83" s="575">
        <v>1800</v>
      </c>
      <c r="AL83" s="576" t="s">
        <v>1226</v>
      </c>
      <c r="AM83" s="576" t="s">
        <v>1226</v>
      </c>
      <c r="AN83" s="576" t="s">
        <v>1226</v>
      </c>
      <c r="AO83" s="576" t="s">
        <v>1226</v>
      </c>
      <c r="AP83" s="575">
        <v>20486</v>
      </c>
    </row>
    <row r="84" spans="1:42" s="130" customFormat="1" ht="12" customHeight="1" hidden="1" outlineLevel="1">
      <c r="A84" s="10"/>
      <c r="B84" s="46"/>
      <c r="C84" s="162" t="s">
        <v>685</v>
      </c>
      <c r="D84" s="46"/>
      <c r="E84" s="81">
        <v>10</v>
      </c>
      <c r="F84" s="196">
        <v>60</v>
      </c>
      <c r="H84" s="80">
        <f t="shared" si="45"/>
        <v>216</v>
      </c>
      <c r="I84" s="262"/>
      <c r="J84" s="108">
        <v>216</v>
      </c>
      <c r="K84" s="108"/>
      <c r="L84" s="108"/>
      <c r="M84" s="108"/>
      <c r="N84" s="108"/>
      <c r="O84" s="109"/>
      <c r="P84" s="109"/>
      <c r="Q84" s="112">
        <f t="shared" si="46"/>
        <v>151.08</v>
      </c>
      <c r="R84" s="108"/>
      <c r="S84" s="108">
        <v>151.08</v>
      </c>
      <c r="T84" s="108"/>
      <c r="U84" s="108"/>
      <c r="V84" s="108"/>
      <c r="W84" s="108"/>
      <c r="X84" s="109"/>
      <c r="Y84" s="109"/>
      <c r="Z84" s="112">
        <f t="shared" si="47"/>
        <v>152.08</v>
      </c>
      <c r="AA84" s="108"/>
      <c r="AB84" s="108">
        <v>151.08</v>
      </c>
      <c r="AC84" s="108"/>
      <c r="AD84" s="108"/>
      <c r="AE84" s="108"/>
      <c r="AF84" s="108"/>
      <c r="AG84" s="141">
        <v>1</v>
      </c>
      <c r="AH84" s="141"/>
      <c r="AI84" s="112">
        <f t="shared" si="48"/>
        <v>138262</v>
      </c>
      <c r="AJ84" s="574">
        <v>48560</v>
      </c>
      <c r="AK84" s="575">
        <v>87480</v>
      </c>
      <c r="AL84" s="576" t="s">
        <v>1226</v>
      </c>
      <c r="AM84" s="576" t="s">
        <v>1226</v>
      </c>
      <c r="AN84" s="576" t="s">
        <v>1226</v>
      </c>
      <c r="AO84" s="576" t="s">
        <v>1226</v>
      </c>
      <c r="AP84" s="575">
        <v>2222</v>
      </c>
    </row>
    <row r="85" spans="1:42" s="130" customFormat="1" ht="12" customHeight="1" hidden="1" outlineLevel="1">
      <c r="A85" s="10"/>
      <c r="B85" s="46"/>
      <c r="C85" s="162" t="s">
        <v>686</v>
      </c>
      <c r="D85" s="46"/>
      <c r="E85" s="81">
        <v>11</v>
      </c>
      <c r="F85" s="196">
        <v>4</v>
      </c>
      <c r="H85" s="80">
        <f t="shared" si="45"/>
        <v>14.4</v>
      </c>
      <c r="I85" s="262"/>
      <c r="J85" s="108">
        <v>14.4</v>
      </c>
      <c r="K85" s="108"/>
      <c r="L85" s="108"/>
      <c r="M85" s="108"/>
      <c r="N85" s="108"/>
      <c r="O85" s="109"/>
      <c r="P85" s="109"/>
      <c r="Q85" s="112">
        <f t="shared" si="46"/>
        <v>14.4</v>
      </c>
      <c r="R85" s="108"/>
      <c r="S85" s="108">
        <v>14.4</v>
      </c>
      <c r="T85" s="108"/>
      <c r="U85" s="108"/>
      <c r="V85" s="108"/>
      <c r="W85" s="108"/>
      <c r="X85" s="109"/>
      <c r="Y85" s="109"/>
      <c r="Z85" s="112">
        <f t="shared" si="47"/>
        <v>15.4</v>
      </c>
      <c r="AA85" s="108"/>
      <c r="AB85" s="108">
        <v>14.4</v>
      </c>
      <c r="AC85" s="108"/>
      <c r="AD85" s="108"/>
      <c r="AE85" s="108"/>
      <c r="AF85" s="108"/>
      <c r="AG85" s="141">
        <v>1</v>
      </c>
      <c r="AH85" s="109"/>
      <c r="AI85" s="112">
        <f t="shared" si="48"/>
        <v>13000</v>
      </c>
      <c r="AJ85" s="574">
        <v>8320</v>
      </c>
      <c r="AK85" s="575">
        <v>3600</v>
      </c>
      <c r="AL85" s="576" t="s">
        <v>1226</v>
      </c>
      <c r="AM85" s="576" t="s">
        <v>1226</v>
      </c>
      <c r="AN85" s="576" t="s">
        <v>1226</v>
      </c>
      <c r="AO85" s="576" t="s">
        <v>1226</v>
      </c>
      <c r="AP85" s="575">
        <v>1080</v>
      </c>
    </row>
    <row r="86" spans="1:42" s="130" customFormat="1" ht="12" customHeight="1" hidden="1" outlineLevel="1">
      <c r="A86" s="10"/>
      <c r="B86" s="46"/>
      <c r="C86" s="162" t="s">
        <v>687</v>
      </c>
      <c r="D86" s="46"/>
      <c r="E86" s="81">
        <v>12</v>
      </c>
      <c r="F86" s="196">
        <v>15</v>
      </c>
      <c r="H86" s="80">
        <f t="shared" si="45"/>
        <v>90</v>
      </c>
      <c r="I86" s="262"/>
      <c r="J86" s="108">
        <v>90</v>
      </c>
      <c r="K86" s="108"/>
      <c r="L86" s="108"/>
      <c r="M86" s="108"/>
      <c r="N86" s="108">
        <v>0</v>
      </c>
      <c r="O86" s="109"/>
      <c r="P86" s="109"/>
      <c r="Q86" s="112">
        <f t="shared" si="46"/>
        <v>45</v>
      </c>
      <c r="R86" s="108"/>
      <c r="S86" s="108">
        <v>45</v>
      </c>
      <c r="T86" s="108"/>
      <c r="U86" s="108"/>
      <c r="V86" s="108"/>
      <c r="W86" s="108"/>
      <c r="X86" s="109"/>
      <c r="Y86" s="109"/>
      <c r="Z86" s="112">
        <f t="shared" si="47"/>
        <v>46</v>
      </c>
      <c r="AA86" s="108"/>
      <c r="AB86" s="108">
        <v>45</v>
      </c>
      <c r="AC86" s="108"/>
      <c r="AD86" s="108"/>
      <c r="AE86" s="108"/>
      <c r="AF86" s="108"/>
      <c r="AG86" s="141">
        <v>1</v>
      </c>
      <c r="AH86" s="109"/>
      <c r="AI86" s="112">
        <f t="shared" si="48"/>
        <v>43398.8</v>
      </c>
      <c r="AJ86" s="574">
        <v>26264</v>
      </c>
      <c r="AK86" s="575">
        <v>11134.8</v>
      </c>
      <c r="AL86" s="576" t="s">
        <v>1226</v>
      </c>
      <c r="AM86" s="576" t="s">
        <v>1226</v>
      </c>
      <c r="AN86" s="576" t="s">
        <v>1226</v>
      </c>
      <c r="AO86" s="576" t="s">
        <v>1226</v>
      </c>
      <c r="AP86" s="575">
        <v>6000</v>
      </c>
    </row>
    <row r="87" spans="1:44" s="129" customFormat="1" ht="12" customHeight="1" hidden="1" outlineLevel="1">
      <c r="A87" s="98"/>
      <c r="B87" s="46"/>
      <c r="C87" s="46"/>
      <c r="D87" s="46"/>
      <c r="E87" s="81" t="s">
        <v>471</v>
      </c>
      <c r="F87" s="126"/>
      <c r="H87" s="99">
        <f aca="true" t="shared" si="49" ref="H87:P87">H74/$H$74</f>
        <v>1</v>
      </c>
      <c r="I87" s="261">
        <f t="shared" si="49"/>
        <v>0</v>
      </c>
      <c r="J87" s="99">
        <f t="shared" si="49"/>
        <v>0.49720273421471395</v>
      </c>
      <c r="K87" s="99">
        <f t="shared" si="49"/>
        <v>0.030024319698956158</v>
      </c>
      <c r="L87" s="99">
        <f t="shared" si="49"/>
        <v>0.3914570802349904</v>
      </c>
      <c r="M87" s="99">
        <f t="shared" si="49"/>
        <v>0.009257498573844815</v>
      </c>
      <c r="N87" s="99">
        <f t="shared" si="49"/>
        <v>0.024019455759164924</v>
      </c>
      <c r="O87" s="99">
        <f t="shared" si="49"/>
        <v>0.04803891151832985</v>
      </c>
      <c r="P87" s="99">
        <f t="shared" si="49"/>
        <v>0</v>
      </c>
      <c r="Q87" s="99">
        <f>Q74/$Q$74</f>
        <v>1</v>
      </c>
      <c r="R87" s="99">
        <f aca="true" t="shared" si="50" ref="R87:Y87">R74/$Q$74</f>
        <v>0</v>
      </c>
      <c r="S87" s="99">
        <f t="shared" si="50"/>
        <v>0.8443845287896266</v>
      </c>
      <c r="T87" s="99">
        <f t="shared" si="50"/>
        <v>0</v>
      </c>
      <c r="U87" s="99">
        <f t="shared" si="50"/>
        <v>0.051033313412922325</v>
      </c>
      <c r="V87" s="99">
        <f t="shared" si="50"/>
        <v>0.021194390782872153</v>
      </c>
      <c r="W87" s="99">
        <f>W74/$Q$74</f>
        <v>0</v>
      </c>
      <c r="X87" s="99">
        <f t="shared" si="50"/>
        <v>0.08338776701457896</v>
      </c>
      <c r="Y87" s="99">
        <f t="shared" si="50"/>
        <v>0</v>
      </c>
      <c r="Z87" s="99">
        <f>Z74/$Z$74</f>
        <v>1</v>
      </c>
      <c r="AA87" s="99">
        <f aca="true" t="shared" si="51" ref="AA87:AQ87">AA74/$Z$74</f>
        <v>0</v>
      </c>
      <c r="AB87" s="99">
        <f t="shared" si="51"/>
        <v>0.8638416744263616</v>
      </c>
      <c r="AC87" s="99">
        <f t="shared" si="51"/>
        <v>0</v>
      </c>
      <c r="AD87" s="99">
        <f t="shared" si="51"/>
        <v>0.051033313412922325</v>
      </c>
      <c r="AE87" s="99">
        <f t="shared" si="51"/>
        <v>0.021194390782872153</v>
      </c>
      <c r="AF87" s="99">
        <f t="shared" si="51"/>
        <v>0.016677553402915792</v>
      </c>
      <c r="AG87" s="99">
        <f t="shared" si="51"/>
        <v>0.04725306797492808</v>
      </c>
      <c r="AH87" s="99">
        <f t="shared" si="51"/>
        <v>0.04975470098536545</v>
      </c>
      <c r="AI87" s="99"/>
      <c r="AJ87" s="99">
        <f>AJ74/AI74</f>
        <v>0.47482519214417207</v>
      </c>
      <c r="AK87" s="99">
        <f t="shared" si="51"/>
        <v>287.87041541005937</v>
      </c>
      <c r="AL87" s="99">
        <f t="shared" si="51"/>
        <v>0</v>
      </c>
      <c r="AM87" s="99">
        <f t="shared" si="51"/>
        <v>1.0006532041749476</v>
      </c>
      <c r="AN87" s="99">
        <f t="shared" si="51"/>
        <v>21.448945839645326</v>
      </c>
      <c r="AO87" s="99">
        <f t="shared" si="51"/>
        <v>16.677553402915795</v>
      </c>
      <c r="AP87" s="99">
        <f t="shared" si="51"/>
        <v>49.71974761302517</v>
      </c>
      <c r="AQ87" s="99">
        <f t="shared" si="51"/>
        <v>148.4575069837255</v>
      </c>
      <c r="AR87" s="99"/>
    </row>
    <row r="88" spans="1:35" s="129" customFormat="1" ht="12" customHeight="1" hidden="1" outlineLevel="1">
      <c r="A88" s="98"/>
      <c r="B88" s="46"/>
      <c r="C88" s="46"/>
      <c r="D88" s="46"/>
      <c r="E88" s="81" t="s">
        <v>472</v>
      </c>
      <c r="F88" s="126"/>
      <c r="G88" s="81"/>
      <c r="H88" s="99"/>
      <c r="I88" s="261"/>
      <c r="J88" s="99"/>
      <c r="K88" s="99"/>
      <c r="L88" s="99"/>
      <c r="M88" s="99"/>
      <c r="N88" s="99"/>
      <c r="O88" s="99"/>
      <c r="P88" s="99"/>
      <c r="Q88" s="65">
        <f>Q74-H74</f>
        <v>-279.65999999999997</v>
      </c>
      <c r="R88" s="65">
        <f aca="true" t="shared" si="52" ref="R88:AH88">R74-I74</f>
        <v>0</v>
      </c>
      <c r="S88" s="65">
        <f t="shared" si="52"/>
        <v>110.75999999999993</v>
      </c>
      <c r="T88" s="65">
        <f t="shared" si="52"/>
        <v>-30</v>
      </c>
      <c r="U88" s="65">
        <f t="shared" si="52"/>
        <v>-354.41999999999996</v>
      </c>
      <c r="V88" s="65">
        <f t="shared" si="52"/>
        <v>6</v>
      </c>
      <c r="W88" s="65">
        <f t="shared" si="52"/>
        <v>-24</v>
      </c>
      <c r="X88" s="65">
        <f t="shared" si="52"/>
        <v>12</v>
      </c>
      <c r="Y88" s="65">
        <f t="shared" si="52"/>
        <v>0</v>
      </c>
      <c r="Z88" s="65">
        <f t="shared" si="52"/>
        <v>0</v>
      </c>
      <c r="AA88" s="65">
        <f t="shared" si="52"/>
        <v>0</v>
      </c>
      <c r="AB88" s="65">
        <f t="shared" si="52"/>
        <v>14</v>
      </c>
      <c r="AC88" s="65">
        <f t="shared" si="52"/>
        <v>0</v>
      </c>
      <c r="AD88" s="65">
        <f t="shared" si="52"/>
        <v>0</v>
      </c>
      <c r="AE88" s="65">
        <f t="shared" si="52"/>
        <v>0</v>
      </c>
      <c r="AF88" s="65">
        <f t="shared" si="52"/>
        <v>12</v>
      </c>
      <c r="AG88" s="65">
        <f t="shared" si="52"/>
        <v>-26</v>
      </c>
      <c r="AH88" s="65">
        <f t="shared" si="52"/>
        <v>35.8</v>
      </c>
      <c r="AI88" s="65"/>
    </row>
    <row r="89" spans="1:35" s="130" customFormat="1" ht="12" customHeight="1" hidden="1" outlineLevel="1">
      <c r="A89" s="10"/>
      <c r="B89" s="46"/>
      <c r="C89" s="46"/>
      <c r="D89" s="46"/>
      <c r="E89" s="43" t="s">
        <v>473</v>
      </c>
      <c r="F89" s="44"/>
      <c r="G89" s="43"/>
      <c r="H89" s="49"/>
      <c r="I89" s="262"/>
      <c r="J89" s="49"/>
      <c r="K89" s="49"/>
      <c r="L89" s="49"/>
      <c r="M89" s="49"/>
      <c r="N89" s="49"/>
      <c r="O89" s="49"/>
      <c r="P89" s="49"/>
      <c r="Q89" s="49"/>
      <c r="R89" s="218"/>
      <c r="S89" s="84"/>
      <c r="T89" s="49"/>
      <c r="U89" s="49"/>
      <c r="V89" s="49"/>
      <c r="W89" s="49"/>
      <c r="X89" s="49"/>
      <c r="Y89" s="49"/>
      <c r="Z89" s="65">
        <f>Z74-H74</f>
        <v>-279.65999999999997</v>
      </c>
      <c r="AA89" s="65">
        <f aca="true" t="shared" si="53" ref="AA89:AH89">AA74-I74</f>
        <v>0</v>
      </c>
      <c r="AB89" s="65">
        <f t="shared" si="53"/>
        <v>124.75999999999993</v>
      </c>
      <c r="AC89" s="65">
        <f t="shared" si="53"/>
        <v>-30</v>
      </c>
      <c r="AD89" s="65">
        <f t="shared" si="53"/>
        <v>-354.41999999999996</v>
      </c>
      <c r="AE89" s="65">
        <f t="shared" si="53"/>
        <v>6</v>
      </c>
      <c r="AF89" s="65">
        <f t="shared" si="53"/>
        <v>-12</v>
      </c>
      <c r="AG89" s="65">
        <f t="shared" si="53"/>
        <v>-14</v>
      </c>
      <c r="AH89" s="65">
        <f t="shared" si="53"/>
        <v>35.8</v>
      </c>
      <c r="AI89" s="65"/>
    </row>
    <row r="90" spans="1:133" s="56" customFormat="1" ht="12" customHeight="1" collapsed="1">
      <c r="A90" s="88">
        <v>12</v>
      </c>
      <c r="B90" s="106" t="s">
        <v>482</v>
      </c>
      <c r="C90" s="106" t="s">
        <v>743</v>
      </c>
      <c r="D90" s="106"/>
      <c r="E90" s="102"/>
      <c r="F90" s="115">
        <f>SUM(F91:F106)</f>
        <v>170.5</v>
      </c>
      <c r="G90" s="115">
        <f>SUM(G91:G106)</f>
        <v>94.44999999999999</v>
      </c>
      <c r="H90" s="111">
        <f>SUM(H91:H106)</f>
        <v>575.4769400000001</v>
      </c>
      <c r="I90" s="259">
        <f>SUM(I91:I106)</f>
        <v>52.237940000000016</v>
      </c>
      <c r="J90" s="111">
        <f aca="true" t="shared" si="54" ref="J90:P90">SUM(J91:J106)</f>
        <v>297</v>
      </c>
      <c r="K90" s="111">
        <f t="shared" si="54"/>
        <v>13.53</v>
      </c>
      <c r="L90" s="111">
        <f t="shared" si="54"/>
        <v>0</v>
      </c>
      <c r="M90" s="111">
        <f t="shared" si="54"/>
        <v>145.659</v>
      </c>
      <c r="N90" s="111">
        <f t="shared" si="54"/>
        <v>52.5</v>
      </c>
      <c r="O90" s="111">
        <f t="shared" si="54"/>
        <v>14.549999999999999</v>
      </c>
      <c r="P90" s="111">
        <f t="shared" si="54"/>
        <v>0</v>
      </c>
      <c r="Q90" s="111">
        <f>SUM(Q91:Q106)</f>
        <v>264.05299999999994</v>
      </c>
      <c r="R90" s="111">
        <f>SUM(R91:R106)</f>
        <v>57.595</v>
      </c>
      <c r="S90" s="111">
        <f aca="true" t="shared" si="55" ref="S90:Y90">SUM(S91:S106)</f>
        <v>96.9</v>
      </c>
      <c r="T90" s="111">
        <f t="shared" si="55"/>
        <v>0.51</v>
      </c>
      <c r="U90" s="111">
        <f t="shared" si="55"/>
        <v>13.02</v>
      </c>
      <c r="V90" s="111">
        <f t="shared" si="55"/>
        <v>30.029</v>
      </c>
      <c r="W90" s="111">
        <f t="shared" si="55"/>
        <v>52.8</v>
      </c>
      <c r="X90" s="111">
        <f t="shared" si="55"/>
        <v>13.199000000000002</v>
      </c>
      <c r="Y90" s="111">
        <f t="shared" si="55"/>
        <v>0</v>
      </c>
      <c r="Z90" s="204">
        <f>SUM(Z91:Z106)</f>
        <v>264.05249999999995</v>
      </c>
      <c r="AA90" s="111">
        <f aca="true" t="shared" si="56" ref="AA90:AH90">SUM(AA91:AA106)</f>
        <v>57.595</v>
      </c>
      <c r="AB90" s="111">
        <f t="shared" si="56"/>
        <v>96.9</v>
      </c>
      <c r="AC90" s="111">
        <f t="shared" si="56"/>
        <v>0.51</v>
      </c>
      <c r="AD90" s="111">
        <f t="shared" si="56"/>
        <v>13.02</v>
      </c>
      <c r="AE90" s="111">
        <f t="shared" si="56"/>
        <v>30.029</v>
      </c>
      <c r="AF90" s="111">
        <f t="shared" si="56"/>
        <v>52.8</v>
      </c>
      <c r="AG90" s="111">
        <f t="shared" si="56"/>
        <v>13.1985</v>
      </c>
      <c r="AH90" s="111">
        <f t="shared" si="56"/>
        <v>11.125</v>
      </c>
      <c r="AI90" s="42">
        <f>SUM(AJ90:AP90)</f>
        <v>205.16000000000003</v>
      </c>
      <c r="AJ90" s="41">
        <v>65</v>
      </c>
      <c r="AK90" s="41">
        <v>47.34</v>
      </c>
      <c r="AL90" s="41">
        <v>0</v>
      </c>
      <c r="AM90" s="41">
        <v>13.02</v>
      </c>
      <c r="AN90" s="41">
        <v>17</v>
      </c>
      <c r="AO90" s="41">
        <v>52.8</v>
      </c>
      <c r="AP90" s="48">
        <v>10</v>
      </c>
      <c r="AQ90" s="57"/>
      <c r="AR90" s="57"/>
      <c r="AS90" s="65"/>
      <c r="AT90" s="59"/>
      <c r="AU90" s="41"/>
      <c r="AV90" s="41"/>
      <c r="AW90" s="11"/>
      <c r="AX90" s="11"/>
      <c r="AY90" s="11"/>
      <c r="AZ90" s="11"/>
      <c r="BA90" s="11"/>
      <c r="BB90" s="11"/>
      <c r="BC90" s="11"/>
      <c r="BD90" s="11"/>
      <c r="BE90" s="60"/>
      <c r="BF90" s="59"/>
      <c r="BG90" s="58"/>
      <c r="BH90" s="59"/>
      <c r="BI90" s="57"/>
      <c r="BJ90" s="60"/>
      <c r="BK90" s="59"/>
      <c r="BL90" s="93"/>
      <c r="BM90" s="61"/>
      <c r="BN90" s="61"/>
      <c r="BO90" s="59"/>
      <c r="BP90" s="18"/>
      <c r="BQ90" s="39"/>
      <c r="BR90" s="12"/>
      <c r="BS90" s="12"/>
      <c r="BT90" s="32"/>
      <c r="BU90" s="14"/>
      <c r="BV90" s="28"/>
      <c r="BW90" s="28"/>
      <c r="BX90" s="14"/>
      <c r="BY90" s="29"/>
      <c r="BZ90" s="14"/>
      <c r="CA90" s="16"/>
      <c r="CB90" s="31"/>
      <c r="CC90" s="13"/>
      <c r="CD90" s="28"/>
      <c r="CE90" s="13"/>
      <c r="CF90" s="17"/>
      <c r="CG90" s="5"/>
      <c r="CH90" s="22"/>
      <c r="CI90" s="22"/>
      <c r="CJ90" s="22"/>
      <c r="CK90" s="22"/>
      <c r="CL90" s="22"/>
      <c r="CM90" s="22"/>
      <c r="CN90" s="14"/>
      <c r="CO90" s="22"/>
      <c r="CP90" s="22"/>
      <c r="CQ90" s="22"/>
      <c r="CR90" s="22"/>
      <c r="CS90" s="22"/>
      <c r="CT90" s="22"/>
      <c r="CU90" s="30"/>
      <c r="CV90" s="22"/>
      <c r="CW90" s="22"/>
      <c r="CX90" s="22"/>
      <c r="CY90" s="22"/>
      <c r="CZ90" s="22"/>
      <c r="DA90" s="22"/>
      <c r="DB90" s="22"/>
      <c r="DC90" s="35"/>
      <c r="DD90" s="37"/>
      <c r="DE90" s="22"/>
      <c r="DF90" s="5"/>
      <c r="DG90" s="36"/>
      <c r="DH90" s="22"/>
      <c r="DI90" s="14"/>
      <c r="DJ90" s="14"/>
      <c r="DK90" s="23"/>
      <c r="DL90" s="19"/>
      <c r="DM90" s="19"/>
      <c r="DN90" s="15"/>
      <c r="DO90" s="131"/>
      <c r="DQ90" s="74"/>
      <c r="DR90" s="94"/>
      <c r="DS90" s="132"/>
      <c r="DT90" s="75"/>
      <c r="DU90" s="94"/>
      <c r="DV90" s="133"/>
      <c r="DW90" s="94"/>
      <c r="DX90" s="62"/>
      <c r="DZ90" s="75"/>
      <c r="EC90" s="62"/>
    </row>
    <row r="91" spans="1:34" s="130" customFormat="1" ht="12" customHeight="1" hidden="1" outlineLevel="1">
      <c r="A91" s="10"/>
      <c r="B91" s="46"/>
      <c r="C91" s="162" t="s">
        <v>688</v>
      </c>
      <c r="D91" s="107"/>
      <c r="E91" s="81">
        <v>1</v>
      </c>
      <c r="F91" s="196">
        <v>8</v>
      </c>
      <c r="G91" s="203">
        <v>5</v>
      </c>
      <c r="H91" s="80">
        <f>SUM(I91:O91)</f>
        <v>18.29375</v>
      </c>
      <c r="I91" s="263">
        <v>1.95</v>
      </c>
      <c r="J91" s="108">
        <v>16</v>
      </c>
      <c r="K91" s="108"/>
      <c r="L91" s="108"/>
      <c r="M91" s="108"/>
      <c r="N91" s="108"/>
      <c r="O91" s="109">
        <v>0.34375</v>
      </c>
      <c r="P91" s="109"/>
      <c r="Q91" s="112">
        <f>SUM(R91:Y91)</f>
        <v>9.75</v>
      </c>
      <c r="R91" s="110">
        <v>1.3</v>
      </c>
      <c r="S91" s="110">
        <v>8</v>
      </c>
      <c r="T91" s="112"/>
      <c r="U91" s="112"/>
      <c r="V91" s="112"/>
      <c r="W91" s="112"/>
      <c r="X91" s="112">
        <v>0.45</v>
      </c>
      <c r="Y91" s="112"/>
      <c r="Z91" s="112">
        <f aca="true" t="shared" si="57" ref="Z91:Z96">SUM(AA91:AG91)</f>
        <v>9.75</v>
      </c>
      <c r="AA91" s="110">
        <v>1.3</v>
      </c>
      <c r="AB91" s="110">
        <v>8</v>
      </c>
      <c r="AC91" s="110"/>
      <c r="AD91" s="110"/>
      <c r="AE91" s="110"/>
      <c r="AF91" s="110"/>
      <c r="AG91" s="110">
        <v>0.45</v>
      </c>
      <c r="AH91" s="112"/>
    </row>
    <row r="92" spans="1:34" s="130" customFormat="1" ht="12" customHeight="1" hidden="1" outlineLevel="1">
      <c r="A92" s="10"/>
      <c r="B92" s="46"/>
      <c r="C92" s="163" t="s">
        <v>689</v>
      </c>
      <c r="D92" s="100"/>
      <c r="E92" s="81">
        <v>2</v>
      </c>
      <c r="F92" s="196">
        <v>37</v>
      </c>
      <c r="G92" s="203">
        <v>8.4</v>
      </c>
      <c r="H92" s="80">
        <f aca="true" t="shared" si="58" ref="H92:H106">SUM(I92:O92)</f>
        <v>32.29375</v>
      </c>
      <c r="I92" s="262">
        <v>1.95</v>
      </c>
      <c r="J92" s="108">
        <v>30</v>
      </c>
      <c r="K92" s="108"/>
      <c r="L92" s="108"/>
      <c r="M92" s="108"/>
      <c r="N92" s="108"/>
      <c r="O92" s="109">
        <v>0.34375</v>
      </c>
      <c r="P92" s="109"/>
      <c r="Q92" s="112">
        <f>SUM(R92:Y92)</f>
        <v>16.220499999999998</v>
      </c>
      <c r="R92" s="108">
        <v>3.133</v>
      </c>
      <c r="S92" s="108">
        <v>12</v>
      </c>
      <c r="T92" s="108"/>
      <c r="U92" s="108"/>
      <c r="V92" s="108"/>
      <c r="W92" s="108"/>
      <c r="X92" s="109">
        <v>1.0875</v>
      </c>
      <c r="Y92" s="109"/>
      <c r="Z92" s="112">
        <f t="shared" si="57"/>
        <v>16.220499999999998</v>
      </c>
      <c r="AA92" s="108">
        <v>3.133</v>
      </c>
      <c r="AB92" s="108">
        <v>12</v>
      </c>
      <c r="AC92" s="108"/>
      <c r="AD92" s="108"/>
      <c r="AE92" s="108"/>
      <c r="AF92" s="108"/>
      <c r="AG92" s="109">
        <v>1.0875</v>
      </c>
      <c r="AH92" s="109"/>
    </row>
    <row r="93" spans="1:34" s="130" customFormat="1" ht="12" customHeight="1" hidden="1" outlineLevel="1">
      <c r="A93" s="10"/>
      <c r="B93" s="46"/>
      <c r="C93" s="96">
        <f>Z90*0.5*1000</f>
        <v>132026.24999999997</v>
      </c>
      <c r="D93" s="96"/>
      <c r="E93" s="81">
        <v>3</v>
      </c>
      <c r="F93" s="196">
        <v>5</v>
      </c>
      <c r="G93" s="203">
        <v>9.6</v>
      </c>
      <c r="H93" s="80">
        <f t="shared" si="58"/>
        <v>13.79646</v>
      </c>
      <c r="I93" s="262">
        <v>3.45271</v>
      </c>
      <c r="J93" s="108">
        <v>10</v>
      </c>
      <c r="K93" s="108"/>
      <c r="L93" s="108"/>
      <c r="M93" s="108"/>
      <c r="N93" s="108"/>
      <c r="O93" s="109">
        <v>0.34375</v>
      </c>
      <c r="P93" s="109"/>
      <c r="Q93" s="112">
        <f>SUM(R93:Y93)</f>
        <v>16.904500000000002</v>
      </c>
      <c r="R93" s="108">
        <v>4.417</v>
      </c>
      <c r="S93" s="108">
        <v>12</v>
      </c>
      <c r="T93" s="108"/>
      <c r="U93" s="108"/>
      <c r="V93" s="108"/>
      <c r="W93" s="108"/>
      <c r="X93" s="109">
        <v>0.4875</v>
      </c>
      <c r="Y93" s="109"/>
      <c r="Z93" s="112">
        <f t="shared" si="57"/>
        <v>16.904500000000002</v>
      </c>
      <c r="AA93" s="108">
        <v>4.417</v>
      </c>
      <c r="AB93" s="108">
        <v>12</v>
      </c>
      <c r="AC93" s="108"/>
      <c r="AD93" s="108"/>
      <c r="AE93" s="108"/>
      <c r="AF93" s="108"/>
      <c r="AG93" s="109">
        <v>0.4875</v>
      </c>
      <c r="AH93" s="109"/>
    </row>
    <row r="94" spans="1:34" s="130" customFormat="1" ht="12" customHeight="1" hidden="1" outlineLevel="1">
      <c r="A94" s="10"/>
      <c r="B94" s="46"/>
      <c r="C94" s="96">
        <f>Z90*1000-C93</f>
        <v>132026.24999999997</v>
      </c>
      <c r="D94" s="96"/>
      <c r="E94" s="81">
        <v>4</v>
      </c>
      <c r="F94" s="196">
        <v>10</v>
      </c>
      <c r="G94" s="203">
        <v>3.92</v>
      </c>
      <c r="H94" s="80">
        <f t="shared" si="58"/>
        <v>23.79646</v>
      </c>
      <c r="I94" s="262">
        <v>3.45271</v>
      </c>
      <c r="J94" s="108">
        <v>20</v>
      </c>
      <c r="K94" s="108"/>
      <c r="L94" s="108"/>
      <c r="M94" s="108"/>
      <c r="N94" s="108"/>
      <c r="O94" s="109">
        <v>0.34375</v>
      </c>
      <c r="P94" s="109"/>
      <c r="Q94" s="112">
        <f>SUM(R94:Y94)</f>
        <v>7.608499999999999</v>
      </c>
      <c r="R94" s="197">
        <v>1.196</v>
      </c>
      <c r="S94" s="108">
        <v>6</v>
      </c>
      <c r="T94" s="108"/>
      <c r="U94" s="108"/>
      <c r="V94" s="108"/>
      <c r="W94" s="108"/>
      <c r="X94" s="109">
        <v>0.4125</v>
      </c>
      <c r="Y94" s="109"/>
      <c r="Z94" s="112">
        <f t="shared" si="57"/>
        <v>7.608499999999999</v>
      </c>
      <c r="AA94" s="108">
        <v>1.196</v>
      </c>
      <c r="AB94" s="108">
        <v>6</v>
      </c>
      <c r="AC94" s="108"/>
      <c r="AD94" s="108"/>
      <c r="AE94" s="108"/>
      <c r="AF94" s="108"/>
      <c r="AG94" s="109">
        <v>0.4125</v>
      </c>
      <c r="AH94" s="109"/>
    </row>
    <row r="95" spans="1:34" s="130" customFormat="1" ht="12" customHeight="1" hidden="1" outlineLevel="1">
      <c r="A95" s="10"/>
      <c r="B95" s="46"/>
      <c r="C95" s="162" t="s">
        <v>690</v>
      </c>
      <c r="D95" s="46"/>
      <c r="E95" s="81">
        <v>5</v>
      </c>
      <c r="F95" s="196">
        <v>14</v>
      </c>
      <c r="G95" s="203">
        <v>3</v>
      </c>
      <c r="H95" s="80">
        <f t="shared" si="58"/>
        <v>74.59545999999999</v>
      </c>
      <c r="I95" s="262">
        <v>3.45271</v>
      </c>
      <c r="J95" s="108">
        <v>28</v>
      </c>
      <c r="K95" s="108">
        <v>13.53</v>
      </c>
      <c r="L95" s="108"/>
      <c r="M95" s="108">
        <v>25.659</v>
      </c>
      <c r="N95" s="108"/>
      <c r="O95" s="109">
        <v>3.95375</v>
      </c>
      <c r="P95" s="109"/>
      <c r="Q95" s="112">
        <f>SUM(R95:Y95)</f>
        <v>49.309</v>
      </c>
      <c r="R95" s="198">
        <v>1.3</v>
      </c>
      <c r="S95" s="198">
        <v>4</v>
      </c>
      <c r="T95" s="198">
        <v>0.51</v>
      </c>
      <c r="U95" s="198">
        <v>13.02</v>
      </c>
      <c r="V95" s="198">
        <f>25.659+4.37</f>
        <v>30.029</v>
      </c>
      <c r="W95" s="198"/>
      <c r="X95" s="199">
        <v>0.45</v>
      </c>
      <c r="Y95" s="199"/>
      <c r="Z95" s="112">
        <f t="shared" si="57"/>
        <v>49.309</v>
      </c>
      <c r="AA95" s="198">
        <v>1.3</v>
      </c>
      <c r="AB95" s="198">
        <v>4</v>
      </c>
      <c r="AC95" s="198">
        <v>0.51</v>
      </c>
      <c r="AD95" s="198">
        <v>13.02</v>
      </c>
      <c r="AE95" s="198">
        <f>25.659+4.37</f>
        <v>30.029</v>
      </c>
      <c r="AF95" s="198"/>
      <c r="AG95" s="199">
        <v>0.45</v>
      </c>
      <c r="AH95" s="199"/>
    </row>
    <row r="96" spans="1:34" s="130" customFormat="1" ht="12" customHeight="1" hidden="1" outlineLevel="1">
      <c r="A96" s="10"/>
      <c r="B96" s="46"/>
      <c r="C96" s="205" t="s">
        <v>691</v>
      </c>
      <c r="D96" s="105"/>
      <c r="E96" s="81">
        <v>6</v>
      </c>
      <c r="F96" s="196">
        <v>3</v>
      </c>
      <c r="G96" s="203">
        <v>6.58</v>
      </c>
      <c r="H96" s="80">
        <f t="shared" si="58"/>
        <v>12.29646</v>
      </c>
      <c r="I96" s="262">
        <v>3.45271</v>
      </c>
      <c r="J96" s="108">
        <v>6</v>
      </c>
      <c r="K96" s="108"/>
      <c r="L96" s="108"/>
      <c r="M96" s="108"/>
      <c r="N96" s="108"/>
      <c r="O96" s="109">
        <v>2.84375</v>
      </c>
      <c r="P96" s="109"/>
      <c r="Q96" s="112">
        <f>SUM(R96:X96)</f>
        <v>11.8915</v>
      </c>
      <c r="R96" s="108">
        <f>1.2+1.8+0.429+0.975</f>
        <v>4.404</v>
      </c>
      <c r="S96" s="108">
        <v>6</v>
      </c>
      <c r="T96" s="108"/>
      <c r="U96" s="108"/>
      <c r="V96" s="108"/>
      <c r="W96" s="108"/>
      <c r="X96" s="109">
        <f>0.4875+1</f>
        <v>1.4875</v>
      </c>
      <c r="Y96" s="109"/>
      <c r="Z96" s="112">
        <f t="shared" si="57"/>
        <v>11.891</v>
      </c>
      <c r="AA96" s="108">
        <f>0.429+0.975+3</f>
        <v>4.404</v>
      </c>
      <c r="AB96" s="108">
        <v>6</v>
      </c>
      <c r="AC96" s="108"/>
      <c r="AD96" s="108"/>
      <c r="AE96" s="108"/>
      <c r="AF96" s="108"/>
      <c r="AG96" s="109">
        <v>1.487</v>
      </c>
      <c r="AH96" s="109"/>
    </row>
    <row r="97" spans="1:34" s="130" customFormat="1" ht="12" customHeight="1" hidden="1" outlineLevel="1">
      <c r="A97" s="10"/>
      <c r="B97" s="46"/>
      <c r="C97" s="162" t="s">
        <v>692</v>
      </c>
      <c r="D97" s="46"/>
      <c r="E97" s="81">
        <v>7</v>
      </c>
      <c r="F97" s="196">
        <v>14</v>
      </c>
      <c r="G97" s="203">
        <v>1.5</v>
      </c>
      <c r="H97" s="80">
        <f t="shared" si="58"/>
        <v>204.29646</v>
      </c>
      <c r="I97" s="262">
        <v>3.45271</v>
      </c>
      <c r="J97" s="108">
        <v>28</v>
      </c>
      <c r="K97" s="108"/>
      <c r="L97" s="108"/>
      <c r="M97" s="108">
        <v>120</v>
      </c>
      <c r="N97" s="108">
        <v>52.5</v>
      </c>
      <c r="O97" s="109">
        <v>0.34375</v>
      </c>
      <c r="P97" s="109"/>
      <c r="Q97" s="112">
        <f>SUM(R97:Y97)</f>
        <v>55.675</v>
      </c>
      <c r="R97" s="108">
        <v>0.65</v>
      </c>
      <c r="S97" s="108">
        <v>2</v>
      </c>
      <c r="T97" s="108"/>
      <c r="U97" s="108"/>
      <c r="V97" s="108"/>
      <c r="W97" s="108">
        <v>52.8</v>
      </c>
      <c r="X97" s="109">
        <v>0.225</v>
      </c>
      <c r="Y97" s="109"/>
      <c r="Z97" s="112">
        <f aca="true" t="shared" si="59" ref="Z97:Z102">SUM(AA97:AG97)</f>
        <v>55.675</v>
      </c>
      <c r="AA97" s="108">
        <v>0.65</v>
      </c>
      <c r="AB97" s="108">
        <v>2</v>
      </c>
      <c r="AC97" s="108"/>
      <c r="AD97" s="108"/>
      <c r="AE97" s="108"/>
      <c r="AF97" s="108">
        <v>52.8</v>
      </c>
      <c r="AG97" s="109">
        <v>0.225</v>
      </c>
      <c r="AH97" s="109"/>
    </row>
    <row r="98" spans="1:34" s="130" customFormat="1" ht="12" customHeight="1" hidden="1" outlineLevel="1">
      <c r="A98" s="10"/>
      <c r="B98" s="46"/>
      <c r="C98" s="162" t="s">
        <v>693</v>
      </c>
      <c r="D98" s="46"/>
      <c r="E98" s="81">
        <v>8</v>
      </c>
      <c r="F98" s="196">
        <v>18</v>
      </c>
      <c r="G98" s="203">
        <v>17</v>
      </c>
      <c r="H98" s="80">
        <f t="shared" si="58"/>
        <v>39.79646</v>
      </c>
      <c r="I98" s="262">
        <v>3.45271</v>
      </c>
      <c r="J98" s="108">
        <v>36</v>
      </c>
      <c r="K98" s="108"/>
      <c r="L98" s="108"/>
      <c r="M98" s="108"/>
      <c r="N98" s="108"/>
      <c r="O98" s="109">
        <v>0.34375</v>
      </c>
      <c r="P98" s="109"/>
      <c r="Q98" s="112">
        <f>SUM(R98:Y98)</f>
        <v>27.95</v>
      </c>
      <c r="R98" s="108">
        <v>13.7</v>
      </c>
      <c r="S98" s="108">
        <v>12</v>
      </c>
      <c r="T98" s="108"/>
      <c r="U98" s="108"/>
      <c r="V98" s="108"/>
      <c r="W98" s="108"/>
      <c r="X98" s="109">
        <v>2.25</v>
      </c>
      <c r="Y98" s="109"/>
      <c r="Z98" s="112">
        <f t="shared" si="59"/>
        <v>27.95</v>
      </c>
      <c r="AA98" s="108">
        <v>13.7</v>
      </c>
      <c r="AB98" s="108">
        <v>12</v>
      </c>
      <c r="AC98" s="108"/>
      <c r="AD98" s="108"/>
      <c r="AE98" s="108"/>
      <c r="AF98" s="108"/>
      <c r="AG98" s="109">
        <v>2.25</v>
      </c>
      <c r="AH98" s="109"/>
    </row>
    <row r="99" spans="1:34" s="130" customFormat="1" ht="12" customHeight="1" hidden="1" outlineLevel="1">
      <c r="A99" s="10"/>
      <c r="B99" s="46"/>
      <c r="C99" s="162" t="s">
        <v>694</v>
      </c>
      <c r="D99" s="46"/>
      <c r="E99" s="81">
        <v>9</v>
      </c>
      <c r="F99" s="196">
        <v>4</v>
      </c>
      <c r="G99" s="203">
        <v>2.75</v>
      </c>
      <c r="H99" s="80">
        <f t="shared" si="58"/>
        <v>11.79646</v>
      </c>
      <c r="I99" s="262">
        <v>3.45271</v>
      </c>
      <c r="J99" s="108">
        <v>8</v>
      </c>
      <c r="K99" s="108"/>
      <c r="L99" s="108"/>
      <c r="M99" s="108"/>
      <c r="N99" s="108"/>
      <c r="O99" s="109">
        <v>0.34375</v>
      </c>
      <c r="P99" s="109"/>
      <c r="Q99" s="112">
        <f>SUM(R99:Y99)</f>
        <v>5.311999999999999</v>
      </c>
      <c r="R99" s="108">
        <v>0.975</v>
      </c>
      <c r="S99" s="108">
        <v>4</v>
      </c>
      <c r="T99" s="108"/>
      <c r="U99" s="108"/>
      <c r="V99" s="108"/>
      <c r="W99" s="108"/>
      <c r="X99" s="109">
        <v>0.337</v>
      </c>
      <c r="Y99" s="109"/>
      <c r="Z99" s="112">
        <f t="shared" si="59"/>
        <v>5.311999999999999</v>
      </c>
      <c r="AA99" s="108">
        <v>0.975</v>
      </c>
      <c r="AB99" s="108">
        <v>4</v>
      </c>
      <c r="AC99" s="108"/>
      <c r="AD99" s="108"/>
      <c r="AE99" s="108"/>
      <c r="AF99" s="108"/>
      <c r="AG99" s="109">
        <v>0.337</v>
      </c>
      <c r="AH99" s="109"/>
    </row>
    <row r="100" spans="1:34" s="130" customFormat="1" ht="12" customHeight="1" hidden="1" outlineLevel="1">
      <c r="A100" s="10"/>
      <c r="B100" s="46"/>
      <c r="C100" s="162" t="s">
        <v>695</v>
      </c>
      <c r="D100" s="46"/>
      <c r="E100" s="81">
        <v>10</v>
      </c>
      <c r="F100" s="196">
        <v>2</v>
      </c>
      <c r="G100" s="203">
        <v>9.3</v>
      </c>
      <c r="H100" s="80">
        <f t="shared" si="58"/>
        <v>7.79646</v>
      </c>
      <c r="I100" s="262">
        <v>3.45271</v>
      </c>
      <c r="J100" s="108">
        <v>4</v>
      </c>
      <c r="K100" s="108"/>
      <c r="L100" s="108"/>
      <c r="M100" s="108"/>
      <c r="N100" s="108"/>
      <c r="O100" s="109">
        <v>0.34375</v>
      </c>
      <c r="P100" s="109"/>
      <c r="Q100" s="112">
        <f>SUM(R100:Y100)</f>
        <v>16.337</v>
      </c>
      <c r="R100" s="108">
        <v>5.37</v>
      </c>
      <c r="S100" s="108">
        <v>10</v>
      </c>
      <c r="T100" s="108"/>
      <c r="U100" s="108"/>
      <c r="V100" s="108"/>
      <c r="W100" s="108"/>
      <c r="X100" s="109">
        <v>0.967</v>
      </c>
      <c r="Y100" s="109"/>
      <c r="Z100" s="112">
        <f t="shared" si="59"/>
        <v>16.337</v>
      </c>
      <c r="AA100" s="108">
        <v>5.37</v>
      </c>
      <c r="AB100" s="108">
        <v>10</v>
      </c>
      <c r="AC100" s="108"/>
      <c r="AD100" s="108"/>
      <c r="AE100" s="108"/>
      <c r="AF100" s="108"/>
      <c r="AG100" s="109">
        <v>0.967</v>
      </c>
      <c r="AH100" s="109"/>
    </row>
    <row r="101" spans="1:34" s="130" customFormat="1" ht="12" customHeight="1" hidden="1" outlineLevel="1">
      <c r="A101" s="10"/>
      <c r="B101" s="46"/>
      <c r="C101" s="162" t="s">
        <v>696</v>
      </c>
      <c r="D101" s="46"/>
      <c r="E101" s="81">
        <v>11</v>
      </c>
      <c r="F101" s="196">
        <v>30</v>
      </c>
      <c r="G101" s="203">
        <v>13.1</v>
      </c>
      <c r="H101" s="80">
        <f t="shared" si="58"/>
        <v>63.79646</v>
      </c>
      <c r="I101" s="262">
        <v>3.45271</v>
      </c>
      <c r="J101" s="108">
        <v>60</v>
      </c>
      <c r="K101" s="108"/>
      <c r="L101" s="108"/>
      <c r="M101" s="108"/>
      <c r="N101" s="108"/>
      <c r="O101" s="109">
        <v>0.34375</v>
      </c>
      <c r="P101" s="109"/>
      <c r="Q101" s="112">
        <f>SUM(R101:Y101)</f>
        <v>21.685</v>
      </c>
      <c r="R101" s="108">
        <v>10.75</v>
      </c>
      <c r="S101" s="108">
        <v>9</v>
      </c>
      <c r="T101" s="108"/>
      <c r="U101" s="108"/>
      <c r="V101" s="108"/>
      <c r="W101" s="108"/>
      <c r="X101" s="109">
        <v>1.935</v>
      </c>
      <c r="Y101" s="109"/>
      <c r="Z101" s="112">
        <f t="shared" si="59"/>
        <v>21.685</v>
      </c>
      <c r="AA101" s="108">
        <v>10.75</v>
      </c>
      <c r="AB101" s="108">
        <v>9</v>
      </c>
      <c r="AC101" s="108"/>
      <c r="AD101" s="108"/>
      <c r="AE101" s="108"/>
      <c r="AF101" s="108"/>
      <c r="AG101" s="109">
        <v>1.935</v>
      </c>
      <c r="AH101" s="109"/>
    </row>
    <row r="102" spans="1:34" s="130" customFormat="1" ht="12" customHeight="1" hidden="1" outlineLevel="1">
      <c r="A102" s="10"/>
      <c r="B102" s="46"/>
      <c r="C102" s="162" t="s">
        <v>697</v>
      </c>
      <c r="D102" s="46"/>
      <c r="E102" s="81">
        <v>12</v>
      </c>
      <c r="F102" s="196">
        <v>9</v>
      </c>
      <c r="G102" s="203">
        <v>5.95</v>
      </c>
      <c r="H102" s="80">
        <f t="shared" si="58"/>
        <v>21.79646</v>
      </c>
      <c r="I102" s="262">
        <v>3.45271</v>
      </c>
      <c r="J102" s="108">
        <v>18</v>
      </c>
      <c r="K102" s="108"/>
      <c r="L102" s="108"/>
      <c r="M102" s="108"/>
      <c r="N102" s="108"/>
      <c r="O102" s="109">
        <v>0.34375</v>
      </c>
      <c r="P102" s="109"/>
      <c r="Q102" s="112">
        <f>SUM(R102:X102)</f>
        <v>11.125</v>
      </c>
      <c r="R102" s="108">
        <f>1.908+0.396+0.396+1.3+0.325+0.325</f>
        <v>4.65</v>
      </c>
      <c r="S102" s="108">
        <v>4.4</v>
      </c>
      <c r="T102" s="108"/>
      <c r="U102" s="108"/>
      <c r="V102" s="108"/>
      <c r="W102" s="108"/>
      <c r="X102" s="109">
        <v>2.075</v>
      </c>
      <c r="Y102" s="109"/>
      <c r="Z102" s="112">
        <f t="shared" si="59"/>
        <v>11.125</v>
      </c>
      <c r="AA102" s="108">
        <f>0.325+0.325+1.3+0.396+0.396+1.908</f>
        <v>4.65</v>
      </c>
      <c r="AB102" s="108">
        <f>0.4+2+2</f>
        <v>4.4</v>
      </c>
      <c r="AC102" s="108"/>
      <c r="AD102" s="108"/>
      <c r="AE102" s="108"/>
      <c r="AF102" s="108"/>
      <c r="AG102" s="109">
        <f>0.675+1.4</f>
        <v>2.075</v>
      </c>
      <c r="AH102" s="141">
        <f>Z102</f>
        <v>11.125</v>
      </c>
    </row>
    <row r="103" spans="1:34" s="130" customFormat="1" ht="12" customHeight="1" hidden="1" outlineLevel="1">
      <c r="A103" s="10"/>
      <c r="B103" s="46"/>
      <c r="C103" s="162" t="s">
        <v>767</v>
      </c>
      <c r="D103" s="46"/>
      <c r="E103" s="81">
        <v>13</v>
      </c>
      <c r="F103" s="196">
        <v>2.5</v>
      </c>
      <c r="G103" s="203">
        <v>4.1</v>
      </c>
      <c r="H103" s="80">
        <f t="shared" si="58"/>
        <v>11.73646</v>
      </c>
      <c r="I103" s="262">
        <v>3.45271</v>
      </c>
      <c r="J103" s="108">
        <v>5</v>
      </c>
      <c r="K103" s="108"/>
      <c r="L103" s="108"/>
      <c r="M103" s="108"/>
      <c r="N103" s="108"/>
      <c r="O103" s="109">
        <v>3.28375</v>
      </c>
      <c r="P103" s="109"/>
      <c r="Q103" s="112">
        <f>SUM(R103:Y103)</f>
        <v>6.835</v>
      </c>
      <c r="R103" s="108">
        <v>3.25</v>
      </c>
      <c r="S103" s="108">
        <v>3</v>
      </c>
      <c r="T103" s="108"/>
      <c r="U103" s="108"/>
      <c r="V103" s="108"/>
      <c r="W103" s="108"/>
      <c r="X103" s="109">
        <v>0.585</v>
      </c>
      <c r="Y103" s="109"/>
      <c r="Z103" s="112">
        <f>SUM(AA103:AG103)</f>
        <v>6.835</v>
      </c>
      <c r="AA103" s="108">
        <v>3.25</v>
      </c>
      <c r="AB103" s="108">
        <v>3</v>
      </c>
      <c r="AC103" s="108"/>
      <c r="AD103" s="108"/>
      <c r="AE103" s="108"/>
      <c r="AF103" s="108"/>
      <c r="AG103" s="109">
        <v>0.585</v>
      </c>
      <c r="AH103" s="109"/>
    </row>
    <row r="104" spans="1:34" s="130" customFormat="1" ht="12" customHeight="1" hidden="1" outlineLevel="1">
      <c r="A104" s="10"/>
      <c r="B104" s="46"/>
      <c r="C104" s="162" t="s">
        <v>698</v>
      </c>
      <c r="D104" s="46"/>
      <c r="E104" s="81">
        <v>14</v>
      </c>
      <c r="F104" s="196">
        <v>4.5</v>
      </c>
      <c r="G104" s="203">
        <v>4.25</v>
      </c>
      <c r="H104" s="80">
        <f t="shared" si="58"/>
        <v>12.79646</v>
      </c>
      <c r="I104" s="262">
        <v>3.45271</v>
      </c>
      <c r="J104" s="108">
        <v>9</v>
      </c>
      <c r="K104" s="108"/>
      <c r="L104" s="108"/>
      <c r="M104" s="108"/>
      <c r="N104" s="108"/>
      <c r="O104" s="109">
        <v>0.34375</v>
      </c>
      <c r="P104" s="109"/>
      <c r="Q104" s="112">
        <f>SUM(R104:Y104)</f>
        <v>7.45</v>
      </c>
      <c r="R104" s="108">
        <v>2.5</v>
      </c>
      <c r="S104" s="108">
        <v>4.5</v>
      </c>
      <c r="T104" s="108"/>
      <c r="U104" s="108"/>
      <c r="V104" s="108"/>
      <c r="W104" s="108"/>
      <c r="X104" s="109">
        <v>0.45</v>
      </c>
      <c r="Y104" s="109"/>
      <c r="Z104" s="112">
        <f>SUM(AA104:AG104)</f>
        <v>7.45</v>
      </c>
      <c r="AA104" s="108">
        <v>2.5</v>
      </c>
      <c r="AB104" s="108">
        <v>4.5</v>
      </c>
      <c r="AC104" s="108"/>
      <c r="AD104" s="108"/>
      <c r="AE104" s="108"/>
      <c r="AF104" s="108"/>
      <c r="AG104" s="109">
        <v>0.45</v>
      </c>
      <c r="AH104" s="109"/>
    </row>
    <row r="105" spans="1:34" s="130" customFormat="1" ht="12" customHeight="1" hidden="1" outlineLevel="1">
      <c r="A105" s="10"/>
      <c r="B105" s="46"/>
      <c r="C105" s="162" t="s">
        <v>699</v>
      </c>
      <c r="D105" s="46"/>
      <c r="E105" s="81">
        <v>15</v>
      </c>
      <c r="F105" s="196">
        <v>3</v>
      </c>
      <c r="G105" s="203"/>
      <c r="H105" s="80">
        <f t="shared" si="58"/>
        <v>9.79646</v>
      </c>
      <c r="I105" s="262">
        <v>3.45271</v>
      </c>
      <c r="J105" s="108">
        <v>6</v>
      </c>
      <c r="K105" s="108"/>
      <c r="L105" s="108"/>
      <c r="M105" s="108"/>
      <c r="N105" s="108"/>
      <c r="O105" s="109">
        <v>0.34375</v>
      </c>
      <c r="P105" s="109"/>
      <c r="Q105" s="112">
        <f>SUM(R105:Y105)</f>
        <v>0</v>
      </c>
      <c r="R105" s="108"/>
      <c r="S105" s="108"/>
      <c r="T105" s="108"/>
      <c r="U105" s="108"/>
      <c r="V105" s="108"/>
      <c r="W105" s="108"/>
      <c r="X105" s="109"/>
      <c r="Y105" s="109"/>
      <c r="Z105" s="112"/>
      <c r="AA105" s="108"/>
      <c r="AB105" s="108"/>
      <c r="AC105" s="108"/>
      <c r="AD105" s="108"/>
      <c r="AE105" s="108"/>
      <c r="AF105" s="108"/>
      <c r="AG105" s="199"/>
      <c r="AH105" s="109"/>
    </row>
    <row r="106" spans="1:34" s="130" customFormat="1" ht="12" customHeight="1" hidden="1" outlineLevel="1">
      <c r="A106" s="10"/>
      <c r="B106" s="46"/>
      <c r="C106" s="162" t="s">
        <v>702</v>
      </c>
      <c r="D106" s="46"/>
      <c r="E106" s="81">
        <v>16</v>
      </c>
      <c r="F106" s="196">
        <v>6.5</v>
      </c>
      <c r="G106" s="203"/>
      <c r="H106" s="80">
        <f t="shared" si="58"/>
        <v>16.79646</v>
      </c>
      <c r="I106" s="262">
        <v>3.45271</v>
      </c>
      <c r="J106" s="108">
        <v>13</v>
      </c>
      <c r="K106" s="108"/>
      <c r="L106" s="108"/>
      <c r="M106" s="108"/>
      <c r="N106" s="108"/>
      <c r="O106" s="109">
        <v>0.34375</v>
      </c>
      <c r="P106" s="109"/>
      <c r="Q106" s="112">
        <f>SUM(R106:Y106)</f>
        <v>0</v>
      </c>
      <c r="R106" s="108"/>
      <c r="S106" s="108"/>
      <c r="T106" s="108"/>
      <c r="U106" s="108"/>
      <c r="V106" s="108"/>
      <c r="W106" s="108"/>
      <c r="X106" s="109"/>
      <c r="Y106" s="109"/>
      <c r="Z106" s="112"/>
      <c r="AA106" s="108"/>
      <c r="AB106" s="108"/>
      <c r="AC106" s="108"/>
      <c r="AD106" s="108"/>
      <c r="AE106" s="108"/>
      <c r="AF106" s="108"/>
      <c r="AG106" s="202"/>
      <c r="AH106" s="109"/>
    </row>
    <row r="107" spans="1:34" s="129" customFormat="1" ht="12" customHeight="1" hidden="1" outlineLevel="1">
      <c r="A107" s="98"/>
      <c r="B107" s="46"/>
      <c r="C107" s="46"/>
      <c r="D107" s="46"/>
      <c r="E107" s="81" t="s">
        <v>471</v>
      </c>
      <c r="F107" s="126"/>
      <c r="H107" s="99">
        <f>H90/$H$90</f>
        <v>1</v>
      </c>
      <c r="I107" s="261">
        <f aca="true" t="shared" si="60" ref="I107:P107">I90/$H$90</f>
        <v>0.09077329840531925</v>
      </c>
      <c r="J107" s="99">
        <f t="shared" si="60"/>
        <v>0.516093659634737</v>
      </c>
      <c r="K107" s="99">
        <f t="shared" si="60"/>
        <v>0.023510933383360237</v>
      </c>
      <c r="L107" s="99">
        <f t="shared" si="60"/>
        <v>0</v>
      </c>
      <c r="M107" s="99">
        <f t="shared" si="60"/>
        <v>0.2531100551135897</v>
      </c>
      <c r="N107" s="99">
        <f t="shared" si="60"/>
        <v>0.09122867720816057</v>
      </c>
      <c r="O107" s="99">
        <f t="shared" si="60"/>
        <v>0.02528337625483307</v>
      </c>
      <c r="P107" s="99">
        <f t="shared" si="60"/>
        <v>0</v>
      </c>
      <c r="Q107" s="99">
        <f>Q90/$Q$90</f>
        <v>1</v>
      </c>
      <c r="R107" s="99">
        <f aca="true" t="shared" si="61" ref="R107:Y107">R90/$Q$90</f>
        <v>0.21811908972819855</v>
      </c>
      <c r="S107" s="99">
        <f t="shared" si="61"/>
        <v>0.36697178218009274</v>
      </c>
      <c r="T107" s="99">
        <f t="shared" si="61"/>
        <v>0.001931430432526804</v>
      </c>
      <c r="U107" s="99">
        <f t="shared" si="61"/>
        <v>0.049308282806860754</v>
      </c>
      <c r="V107" s="99">
        <f t="shared" si="61"/>
        <v>0.11372338129087724</v>
      </c>
      <c r="W107" s="99">
        <f t="shared" si="61"/>
        <v>0.19995985654395143</v>
      </c>
      <c r="X107" s="99">
        <f t="shared" si="61"/>
        <v>0.049986177017492715</v>
      </c>
      <c r="Y107" s="99">
        <f t="shared" si="61"/>
        <v>0</v>
      </c>
      <c r="Z107" s="99">
        <f>Z90/$Z$90</f>
        <v>1</v>
      </c>
      <c r="AA107" s="99">
        <f aca="true" t="shared" si="62" ref="AA107:AH107">AA90/$Z$90</f>
        <v>0.21811950275040004</v>
      </c>
      <c r="AB107" s="99">
        <f t="shared" si="62"/>
        <v>0.36697247706422026</v>
      </c>
      <c r="AC107" s="99">
        <f t="shared" si="62"/>
        <v>0.0019314340898116855</v>
      </c>
      <c r="AD107" s="99">
        <f t="shared" si="62"/>
        <v>0.04930837617519244</v>
      </c>
      <c r="AE107" s="99">
        <f t="shared" si="62"/>
        <v>0.1137235966332453</v>
      </c>
      <c r="AF107" s="99">
        <f t="shared" si="62"/>
        <v>0.1999602351805039</v>
      </c>
      <c r="AG107" s="99">
        <f t="shared" si="62"/>
        <v>0.04998437810662653</v>
      </c>
      <c r="AH107" s="99">
        <f t="shared" si="62"/>
        <v>0.04213177303755883</v>
      </c>
    </row>
    <row r="108" spans="1:34" s="129" customFormat="1" ht="12" customHeight="1" hidden="1" outlineLevel="1">
      <c r="A108" s="98"/>
      <c r="B108" s="46"/>
      <c r="C108" s="46"/>
      <c r="D108" s="46"/>
      <c r="E108" s="81" t="s">
        <v>472</v>
      </c>
      <c r="F108" s="126"/>
      <c r="G108" s="81"/>
      <c r="H108" s="99"/>
      <c r="I108" s="261"/>
      <c r="J108" s="99"/>
      <c r="K108" s="99"/>
      <c r="L108" s="99"/>
      <c r="M108" s="99"/>
      <c r="N108" s="99"/>
      <c r="O108" s="99"/>
      <c r="P108" s="99"/>
      <c r="Q108" s="161">
        <f aca="true" t="shared" si="63" ref="Q108:Y108">Q90-H90</f>
        <v>-311.4239400000002</v>
      </c>
      <c r="R108" s="161">
        <f t="shared" si="63"/>
        <v>5.357059999999983</v>
      </c>
      <c r="S108" s="161">
        <f t="shared" si="63"/>
        <v>-200.1</v>
      </c>
      <c r="T108" s="161">
        <f t="shared" si="63"/>
        <v>-13.02</v>
      </c>
      <c r="U108" s="161">
        <f t="shared" si="63"/>
        <v>13.02</v>
      </c>
      <c r="V108" s="161">
        <f t="shared" si="63"/>
        <v>-115.63</v>
      </c>
      <c r="W108" s="161">
        <f t="shared" si="63"/>
        <v>0.29999999999999716</v>
      </c>
      <c r="X108" s="161">
        <f t="shared" si="63"/>
        <v>-1.3509999999999973</v>
      </c>
      <c r="Y108" s="161">
        <f t="shared" si="63"/>
        <v>0</v>
      </c>
      <c r="Z108" s="161">
        <f aca="true" t="shared" si="64" ref="Z108:AH108">Z90-Q90</f>
        <v>-0.0004999999999881766</v>
      </c>
      <c r="AA108" s="161">
        <f t="shared" si="64"/>
        <v>0</v>
      </c>
      <c r="AB108" s="161">
        <f t="shared" si="64"/>
        <v>0</v>
      </c>
      <c r="AC108" s="161">
        <f t="shared" si="64"/>
        <v>0</v>
      </c>
      <c r="AD108" s="161">
        <f t="shared" si="64"/>
        <v>0</v>
      </c>
      <c r="AE108" s="161">
        <f t="shared" si="64"/>
        <v>0</v>
      </c>
      <c r="AF108" s="161">
        <f t="shared" si="64"/>
        <v>0</v>
      </c>
      <c r="AG108" s="161">
        <f t="shared" si="64"/>
        <v>-0.0005000000000023874</v>
      </c>
      <c r="AH108" s="161">
        <f t="shared" si="64"/>
        <v>11.125</v>
      </c>
    </row>
    <row r="109" spans="1:34" s="130" customFormat="1" ht="12" customHeight="1" hidden="1" outlineLevel="1">
      <c r="A109" s="10"/>
      <c r="B109" s="46"/>
      <c r="C109" s="46"/>
      <c r="D109" s="46"/>
      <c r="E109" s="43" t="s">
        <v>473</v>
      </c>
      <c r="F109" s="44"/>
      <c r="G109" s="43"/>
      <c r="H109" s="49">
        <f>151000+136549</f>
        <v>287549</v>
      </c>
      <c r="I109" s="262">
        <f>H109*2</f>
        <v>575098</v>
      </c>
      <c r="J109" s="49"/>
      <c r="K109" s="49"/>
      <c r="L109" s="49"/>
      <c r="M109" s="49"/>
      <c r="N109" s="49"/>
      <c r="O109" s="49"/>
      <c r="P109" s="49"/>
      <c r="Q109" s="49"/>
      <c r="R109" s="49"/>
      <c r="S109" s="84"/>
      <c r="T109" s="49"/>
      <c r="U109" s="49"/>
      <c r="V109" s="49"/>
      <c r="W109" s="49"/>
      <c r="X109" s="49"/>
      <c r="Y109" s="49"/>
      <c r="Z109" s="161">
        <f>Z90-H90</f>
        <v>-311.4244400000002</v>
      </c>
      <c r="AA109" s="161">
        <f aca="true" t="shared" si="65" ref="AA109:AH109">AA90-I90</f>
        <v>5.357059999999983</v>
      </c>
      <c r="AB109" s="161">
        <f t="shared" si="65"/>
        <v>-200.1</v>
      </c>
      <c r="AC109" s="161">
        <f t="shared" si="65"/>
        <v>-13.02</v>
      </c>
      <c r="AD109" s="161">
        <f t="shared" si="65"/>
        <v>13.02</v>
      </c>
      <c r="AE109" s="161">
        <f t="shared" si="65"/>
        <v>-115.63</v>
      </c>
      <c r="AF109" s="161">
        <f t="shared" si="65"/>
        <v>0.29999999999999716</v>
      </c>
      <c r="AG109" s="161">
        <f t="shared" si="65"/>
        <v>-1.3514999999999997</v>
      </c>
      <c r="AH109" s="161">
        <f t="shared" si="65"/>
        <v>11.125</v>
      </c>
    </row>
    <row r="110" spans="1:43" s="130" customFormat="1" ht="12" customHeight="1" collapsed="1">
      <c r="A110" s="117">
        <v>14</v>
      </c>
      <c r="B110" s="118" t="s">
        <v>482</v>
      </c>
      <c r="C110" s="118" t="s">
        <v>483</v>
      </c>
      <c r="D110" s="118"/>
      <c r="E110" s="119">
        <v>742</v>
      </c>
      <c r="F110" s="125"/>
      <c r="G110" s="119"/>
      <c r="H110" s="89">
        <f aca="true" t="shared" si="66" ref="H110:P110">SUM(H111:H141)</f>
        <v>3824</v>
      </c>
      <c r="I110" s="259">
        <f t="shared" si="66"/>
        <v>902</v>
      </c>
      <c r="J110" s="89">
        <f t="shared" si="66"/>
        <v>802.2</v>
      </c>
      <c r="K110" s="89">
        <f t="shared" si="66"/>
        <v>658.5</v>
      </c>
      <c r="L110" s="89">
        <f t="shared" si="66"/>
        <v>436.3</v>
      </c>
      <c r="M110" s="89">
        <f t="shared" si="66"/>
        <v>640</v>
      </c>
      <c r="N110" s="89">
        <f t="shared" si="66"/>
        <v>195</v>
      </c>
      <c r="O110" s="89">
        <f t="shared" si="66"/>
        <v>190</v>
      </c>
      <c r="P110" s="89">
        <f t="shared" si="66"/>
        <v>0</v>
      </c>
      <c r="Q110" s="111">
        <f aca="true" t="shared" si="67" ref="Q110:Y110">SUM(Q111:Q141)</f>
        <v>3538.95</v>
      </c>
      <c r="R110" s="89">
        <f t="shared" si="67"/>
        <v>902</v>
      </c>
      <c r="S110" s="89">
        <f t="shared" si="67"/>
        <v>793.2</v>
      </c>
      <c r="T110" s="89">
        <f t="shared" si="67"/>
        <v>642.5</v>
      </c>
      <c r="U110" s="89">
        <f t="shared" si="67"/>
        <v>426</v>
      </c>
      <c r="V110" s="89">
        <f t="shared" si="67"/>
        <v>406.75</v>
      </c>
      <c r="W110" s="89">
        <f t="shared" si="67"/>
        <v>192</v>
      </c>
      <c r="X110" s="89">
        <f>SUM(X111:X141)</f>
        <v>176.5</v>
      </c>
      <c r="Y110" s="89">
        <f t="shared" si="67"/>
        <v>0</v>
      </c>
      <c r="Z110" s="111">
        <f aca="true" t="shared" si="68" ref="Z110:AH110">SUM(Z111:Z141)</f>
        <v>3538.95</v>
      </c>
      <c r="AA110" s="89">
        <f t="shared" si="68"/>
        <v>902</v>
      </c>
      <c r="AB110" s="89">
        <f t="shared" si="68"/>
        <v>728.2</v>
      </c>
      <c r="AC110" s="89">
        <f t="shared" si="68"/>
        <v>642.5</v>
      </c>
      <c r="AD110" s="89">
        <f t="shared" si="68"/>
        <v>426</v>
      </c>
      <c r="AE110" s="89">
        <f t="shared" si="68"/>
        <v>406.75</v>
      </c>
      <c r="AF110" s="89">
        <f t="shared" si="68"/>
        <v>192</v>
      </c>
      <c r="AG110" s="89">
        <f t="shared" si="68"/>
        <v>176.5</v>
      </c>
      <c r="AH110" s="89">
        <f t="shared" si="68"/>
        <v>65</v>
      </c>
      <c r="AI110" s="1094">
        <f>SUM(AJ110:AQ110)</f>
        <v>3538.95</v>
      </c>
      <c r="AJ110" s="1095">
        <f>1084991.93/1000</f>
        <v>1084.99193</v>
      </c>
      <c r="AK110" s="1095">
        <f>610533.33/1000</f>
        <v>610.53333</v>
      </c>
      <c r="AL110" s="1095">
        <f>642500/1000</f>
        <v>642.5</v>
      </c>
      <c r="AM110" s="1095">
        <f>506000/1000</f>
        <v>506</v>
      </c>
      <c r="AN110" s="1095">
        <f>326750/1000</f>
        <v>326.75</v>
      </c>
      <c r="AO110" s="1095">
        <f>126227.24/1000</f>
        <v>126.22724000000001</v>
      </c>
      <c r="AP110" s="1095">
        <f>176947.5/1000</f>
        <v>176.9475</v>
      </c>
      <c r="AQ110" s="1095">
        <f>65000/1000</f>
        <v>65</v>
      </c>
    </row>
    <row r="111" spans="1:35" s="130" customFormat="1" ht="12" customHeight="1" hidden="1" outlineLevel="1">
      <c r="A111" s="10"/>
      <c r="B111" s="46"/>
      <c r="C111" s="96"/>
      <c r="D111" s="96"/>
      <c r="E111" s="81" t="s">
        <v>484</v>
      </c>
      <c r="F111" s="126"/>
      <c r="G111" s="81"/>
      <c r="H111" s="80">
        <f>SUM(I111:P111)</f>
        <v>308</v>
      </c>
      <c r="I111" s="263">
        <v>38</v>
      </c>
      <c r="J111" s="48">
        <v>65</v>
      </c>
      <c r="K111" s="48"/>
      <c r="L111" s="48"/>
      <c r="M111" s="48"/>
      <c r="N111" s="48">
        <f>10+5</f>
        <v>15</v>
      </c>
      <c r="O111" s="83">
        <v>190</v>
      </c>
      <c r="P111" s="83"/>
      <c r="Q111" s="80">
        <f>SUM(R111:X111)</f>
        <v>294.5</v>
      </c>
      <c r="R111" s="52">
        <v>38</v>
      </c>
      <c r="S111" s="48">
        <v>65</v>
      </c>
      <c r="T111" s="48"/>
      <c r="U111" s="48"/>
      <c r="V111" s="48"/>
      <c r="W111" s="48">
        <f>10+5</f>
        <v>15</v>
      </c>
      <c r="X111" s="83">
        <v>176.5</v>
      </c>
      <c r="Y111" s="49"/>
      <c r="Z111" s="80">
        <f aca="true" t="shared" si="69" ref="Z111:Z116">SUM(AA111:AH111)</f>
        <v>294.5</v>
      </c>
      <c r="AA111" s="52">
        <v>38</v>
      </c>
      <c r="AB111" s="49"/>
      <c r="AC111" s="48"/>
      <c r="AD111" s="48"/>
      <c r="AE111" s="48"/>
      <c r="AF111" s="48">
        <f>10+5</f>
        <v>15</v>
      </c>
      <c r="AG111" s="83">
        <v>176.5</v>
      </c>
      <c r="AH111" s="97">
        <v>65</v>
      </c>
      <c r="AI111" s="657"/>
    </row>
    <row r="112" spans="1:34" s="130" customFormat="1" ht="12" customHeight="1" hidden="1" outlineLevel="1">
      <c r="A112" s="10"/>
      <c r="B112" s="46"/>
      <c r="C112" s="139">
        <f>Z110*0.65</f>
        <v>2300.3175</v>
      </c>
      <c r="D112" s="46"/>
      <c r="E112" s="81" t="s">
        <v>493</v>
      </c>
      <c r="F112" s="126"/>
      <c r="G112" s="81"/>
      <c r="H112" s="80">
        <f aca="true" t="shared" si="70" ref="H112:H141">SUM(I112:P112)</f>
        <v>640</v>
      </c>
      <c r="I112" s="263"/>
      <c r="J112" s="48"/>
      <c r="K112" s="48"/>
      <c r="L112" s="48"/>
      <c r="M112" s="48">
        <v>640</v>
      </c>
      <c r="N112" s="48"/>
      <c r="O112" s="83"/>
      <c r="P112" s="83"/>
      <c r="Q112" s="80">
        <f aca="true" t="shared" si="71" ref="Q112:Q119">SUM(R112:X112)</f>
        <v>406.75</v>
      </c>
      <c r="R112" s="52"/>
      <c r="S112" s="48"/>
      <c r="T112" s="48"/>
      <c r="U112" s="48"/>
      <c r="V112" s="48">
        <v>406.75</v>
      </c>
      <c r="W112" s="48"/>
      <c r="X112" s="83"/>
      <c r="Y112" s="83"/>
      <c r="Z112" s="80">
        <f t="shared" si="69"/>
        <v>406.75</v>
      </c>
      <c r="AA112" s="52"/>
      <c r="AB112" s="48"/>
      <c r="AC112" s="48"/>
      <c r="AD112" s="48"/>
      <c r="AE112" s="48">
        <v>406.75</v>
      </c>
      <c r="AF112" s="48"/>
      <c r="AG112" s="83"/>
      <c r="AH112" s="83"/>
    </row>
    <row r="113" spans="1:34" s="130" customFormat="1" ht="12" customHeight="1" hidden="1" outlineLevel="1">
      <c r="A113" s="10"/>
      <c r="B113" s="46"/>
      <c r="C113" s="139">
        <f>Z110-C112</f>
        <v>1238.6324999999997</v>
      </c>
      <c r="D113" s="96"/>
      <c r="E113" s="81" t="s">
        <v>494</v>
      </c>
      <c r="F113" s="126"/>
      <c r="G113" s="81"/>
      <c r="H113" s="80">
        <f t="shared" si="70"/>
        <v>85</v>
      </c>
      <c r="I113" s="263"/>
      <c r="J113" s="48">
        <v>60</v>
      </c>
      <c r="K113" s="48"/>
      <c r="L113" s="48">
        <v>25</v>
      </c>
      <c r="M113" s="48"/>
      <c r="N113" s="48"/>
      <c r="O113" s="83"/>
      <c r="P113" s="83"/>
      <c r="Q113" s="80">
        <f t="shared" si="71"/>
        <v>85</v>
      </c>
      <c r="R113" s="52"/>
      <c r="S113" s="48">
        <v>60</v>
      </c>
      <c r="T113" s="48"/>
      <c r="U113" s="48">
        <v>25</v>
      </c>
      <c r="V113" s="48"/>
      <c r="W113" s="48"/>
      <c r="X113" s="83"/>
      <c r="Y113" s="83"/>
      <c r="Z113" s="80">
        <f t="shared" si="69"/>
        <v>85</v>
      </c>
      <c r="AA113" s="52"/>
      <c r="AB113" s="48">
        <v>60</v>
      </c>
      <c r="AC113" s="48"/>
      <c r="AD113" s="48">
        <v>25</v>
      </c>
      <c r="AE113" s="48"/>
      <c r="AF113" s="48"/>
      <c r="AG113" s="83"/>
      <c r="AH113" s="83"/>
    </row>
    <row r="114" spans="1:34" s="130" customFormat="1" ht="12" customHeight="1" hidden="1" outlineLevel="1">
      <c r="A114" s="10"/>
      <c r="B114" s="46"/>
      <c r="C114" s="46"/>
      <c r="D114" s="46"/>
      <c r="E114" s="81" t="s">
        <v>495</v>
      </c>
      <c r="F114" s="126"/>
      <c r="G114" s="81"/>
      <c r="H114" s="80">
        <f t="shared" si="70"/>
        <v>52</v>
      </c>
      <c r="I114" s="263"/>
      <c r="J114" s="48"/>
      <c r="K114" s="48"/>
      <c r="L114" s="48">
        <v>52</v>
      </c>
      <c r="M114" s="48"/>
      <c r="N114" s="48"/>
      <c r="O114" s="83"/>
      <c r="P114" s="83"/>
      <c r="Q114" s="80">
        <f t="shared" si="71"/>
        <v>50</v>
      </c>
      <c r="R114" s="52"/>
      <c r="S114" s="48"/>
      <c r="T114" s="48"/>
      <c r="U114" s="48">
        <v>50</v>
      </c>
      <c r="V114" s="48"/>
      <c r="W114" s="48"/>
      <c r="X114" s="83"/>
      <c r="Y114" s="83"/>
      <c r="Z114" s="80">
        <f t="shared" si="69"/>
        <v>50</v>
      </c>
      <c r="AA114" s="52"/>
      <c r="AB114" s="48"/>
      <c r="AC114" s="48"/>
      <c r="AD114" s="48">
        <v>50</v>
      </c>
      <c r="AE114" s="48"/>
      <c r="AF114" s="48"/>
      <c r="AG114" s="83"/>
      <c r="AH114" s="83"/>
    </row>
    <row r="115" spans="1:34" s="130" customFormat="1" ht="12" customHeight="1" hidden="1" outlineLevel="1">
      <c r="A115" s="10"/>
      <c r="B115" s="46"/>
      <c r="C115" s="46"/>
      <c r="D115" s="46"/>
      <c r="E115" s="81" t="s">
        <v>496</v>
      </c>
      <c r="F115" s="126"/>
      <c r="G115" s="81"/>
      <c r="H115" s="80">
        <f t="shared" si="70"/>
        <v>55</v>
      </c>
      <c r="I115" s="263"/>
      <c r="J115" s="48">
        <v>35</v>
      </c>
      <c r="K115" s="48"/>
      <c r="L115" s="48">
        <v>20</v>
      </c>
      <c r="M115" s="48"/>
      <c r="N115" s="48"/>
      <c r="O115" s="83"/>
      <c r="P115" s="83"/>
      <c r="Q115" s="80">
        <f t="shared" si="71"/>
        <v>55</v>
      </c>
      <c r="R115" s="52"/>
      <c r="S115" s="48">
        <v>35</v>
      </c>
      <c r="T115" s="48"/>
      <c r="U115" s="48">
        <v>20</v>
      </c>
      <c r="V115" s="48"/>
      <c r="W115" s="48"/>
      <c r="X115" s="83"/>
      <c r="Y115" s="83"/>
      <c r="Z115" s="80">
        <f t="shared" si="69"/>
        <v>55</v>
      </c>
      <c r="AA115" s="52"/>
      <c r="AB115" s="48">
        <v>35</v>
      </c>
      <c r="AC115" s="48"/>
      <c r="AD115" s="48">
        <v>20</v>
      </c>
      <c r="AE115" s="48"/>
      <c r="AF115" s="48"/>
      <c r="AG115" s="83"/>
      <c r="AH115" s="83"/>
    </row>
    <row r="116" spans="1:34" s="130" customFormat="1" ht="12" customHeight="1" hidden="1" outlineLevel="1">
      <c r="A116" s="10"/>
      <c r="B116" s="46"/>
      <c r="C116" s="46"/>
      <c r="D116" s="46"/>
      <c r="E116" s="81" t="s">
        <v>497</v>
      </c>
      <c r="F116" s="126"/>
      <c r="G116" s="81"/>
      <c r="H116" s="80">
        <f t="shared" si="70"/>
        <v>145</v>
      </c>
      <c r="I116" s="263"/>
      <c r="J116" s="48">
        <v>35</v>
      </c>
      <c r="K116" s="48">
        <v>110</v>
      </c>
      <c r="L116" s="48"/>
      <c r="M116" s="48"/>
      <c r="N116" s="48"/>
      <c r="O116" s="83"/>
      <c r="P116" s="83"/>
      <c r="Q116" s="80">
        <f t="shared" si="71"/>
        <v>130</v>
      </c>
      <c r="R116" s="52"/>
      <c r="S116" s="48">
        <v>30</v>
      </c>
      <c r="T116" s="48">
        <v>100</v>
      </c>
      <c r="U116" s="48"/>
      <c r="V116" s="48"/>
      <c r="W116" s="48"/>
      <c r="X116" s="83"/>
      <c r="Y116" s="83"/>
      <c r="Z116" s="80">
        <f t="shared" si="69"/>
        <v>130</v>
      </c>
      <c r="AA116" s="52"/>
      <c r="AB116" s="48">
        <v>30</v>
      </c>
      <c r="AC116" s="48">
        <v>100</v>
      </c>
      <c r="AD116" s="48"/>
      <c r="AE116" s="48"/>
      <c r="AF116" s="48"/>
      <c r="AG116" s="83"/>
      <c r="AH116" s="83"/>
    </row>
    <row r="117" spans="1:34" s="130" customFormat="1" ht="12" customHeight="1" hidden="1" outlineLevel="1">
      <c r="A117" s="10"/>
      <c r="B117" s="46"/>
      <c r="C117" s="46"/>
      <c r="D117" s="46"/>
      <c r="E117" s="81" t="s">
        <v>498</v>
      </c>
      <c r="F117" s="126"/>
      <c r="G117" s="81"/>
      <c r="H117" s="80">
        <f t="shared" si="70"/>
        <v>48</v>
      </c>
      <c r="I117" s="263"/>
      <c r="J117" s="48"/>
      <c r="K117" s="48"/>
      <c r="L117" s="48">
        <v>48</v>
      </c>
      <c r="M117" s="48"/>
      <c r="N117" s="48"/>
      <c r="O117" s="83"/>
      <c r="P117" s="83"/>
      <c r="Q117" s="80">
        <f t="shared" si="71"/>
        <v>48</v>
      </c>
      <c r="R117" s="52"/>
      <c r="S117" s="48"/>
      <c r="T117" s="48"/>
      <c r="U117" s="48">
        <v>48</v>
      </c>
      <c r="V117" s="48"/>
      <c r="W117" s="48"/>
      <c r="X117" s="83"/>
      <c r="Y117" s="83"/>
      <c r="Z117" s="80">
        <f aca="true" t="shared" si="72" ref="Z117:Z141">SUM(AA117:AH117)</f>
        <v>48</v>
      </c>
      <c r="AA117" s="52"/>
      <c r="AB117" s="48"/>
      <c r="AC117" s="48"/>
      <c r="AD117" s="48">
        <v>48</v>
      </c>
      <c r="AE117" s="48"/>
      <c r="AF117" s="48"/>
      <c r="AG117" s="83"/>
      <c r="AH117" s="83"/>
    </row>
    <row r="118" spans="1:34" s="130" customFormat="1" ht="12" customHeight="1" hidden="1" outlineLevel="1">
      <c r="A118" s="10"/>
      <c r="B118" s="46"/>
      <c r="C118" s="46"/>
      <c r="D118" s="46"/>
      <c r="E118" s="81" t="s">
        <v>499</v>
      </c>
      <c r="F118" s="126"/>
      <c r="G118" s="81"/>
      <c r="H118" s="80">
        <f t="shared" si="70"/>
        <v>40</v>
      </c>
      <c r="I118" s="263"/>
      <c r="J118" s="48"/>
      <c r="K118" s="48"/>
      <c r="L118" s="48">
        <v>40</v>
      </c>
      <c r="M118" s="48"/>
      <c r="N118" s="48"/>
      <c r="O118" s="83"/>
      <c r="P118" s="83"/>
      <c r="Q118" s="80">
        <f t="shared" si="71"/>
        <v>40</v>
      </c>
      <c r="R118" s="52"/>
      <c r="S118" s="48"/>
      <c r="T118" s="48"/>
      <c r="U118" s="48">
        <v>40</v>
      </c>
      <c r="V118" s="48"/>
      <c r="W118" s="48"/>
      <c r="X118" s="83"/>
      <c r="Y118" s="83"/>
      <c r="Z118" s="80">
        <f t="shared" si="72"/>
        <v>40</v>
      </c>
      <c r="AA118" s="52"/>
      <c r="AB118" s="48"/>
      <c r="AC118" s="48"/>
      <c r="AD118" s="48">
        <v>40</v>
      </c>
      <c r="AE118" s="48"/>
      <c r="AF118" s="48"/>
      <c r="AG118" s="83"/>
      <c r="AH118" s="83"/>
    </row>
    <row r="119" spans="1:34" s="130" customFormat="1" ht="12" customHeight="1" hidden="1" outlineLevel="1">
      <c r="A119" s="10"/>
      <c r="B119" s="46"/>
      <c r="C119" s="46"/>
      <c r="D119" s="46"/>
      <c r="E119" s="81" t="s">
        <v>500</v>
      </c>
      <c r="F119" s="126"/>
      <c r="G119" s="81"/>
      <c r="H119" s="80">
        <f t="shared" si="70"/>
        <v>61.8</v>
      </c>
      <c r="I119" s="263"/>
      <c r="J119" s="40"/>
      <c r="K119" s="48"/>
      <c r="L119" s="48">
        <v>61.8</v>
      </c>
      <c r="M119" s="48"/>
      <c r="N119" s="48"/>
      <c r="O119" s="83"/>
      <c r="P119" s="83"/>
      <c r="Q119" s="80">
        <f t="shared" si="71"/>
        <v>60</v>
      </c>
      <c r="R119" s="52"/>
      <c r="S119" s="40"/>
      <c r="T119" s="48"/>
      <c r="U119" s="48">
        <v>60</v>
      </c>
      <c r="V119" s="48"/>
      <c r="W119" s="48"/>
      <c r="X119" s="83"/>
      <c r="Y119" s="83"/>
      <c r="Z119" s="80">
        <f t="shared" si="72"/>
        <v>60</v>
      </c>
      <c r="AA119" s="52"/>
      <c r="AB119" s="40"/>
      <c r="AC119" s="48"/>
      <c r="AD119" s="48">
        <v>60</v>
      </c>
      <c r="AE119" s="48"/>
      <c r="AF119" s="48"/>
      <c r="AG119" s="83"/>
      <c r="AH119" s="83"/>
    </row>
    <row r="120" spans="1:34" s="130" customFormat="1" ht="12" customHeight="1" hidden="1" outlineLevel="1">
      <c r="A120" s="10"/>
      <c r="B120" s="46"/>
      <c r="C120" s="46"/>
      <c r="D120" s="46"/>
      <c r="E120" s="81" t="s">
        <v>501</v>
      </c>
      <c r="F120" s="126"/>
      <c r="G120" s="81"/>
      <c r="H120" s="80">
        <f t="shared" si="70"/>
        <v>135</v>
      </c>
      <c r="I120" s="263"/>
      <c r="J120" s="40"/>
      <c r="K120" s="48">
        <v>135</v>
      </c>
      <c r="L120" s="48"/>
      <c r="M120" s="48"/>
      <c r="N120" s="48"/>
      <c r="O120" s="83"/>
      <c r="P120" s="83"/>
      <c r="Q120" s="80">
        <f aca="true" t="shared" si="73" ref="Q120:Q127">SUM(R120:X120)</f>
        <v>135</v>
      </c>
      <c r="R120" s="52"/>
      <c r="S120" s="40"/>
      <c r="T120" s="48">
        <v>135</v>
      </c>
      <c r="U120" s="48"/>
      <c r="V120" s="48"/>
      <c r="W120" s="48"/>
      <c r="X120" s="83"/>
      <c r="Y120" s="83"/>
      <c r="Z120" s="80">
        <f t="shared" si="72"/>
        <v>135</v>
      </c>
      <c r="AA120" s="52"/>
      <c r="AB120" s="40"/>
      <c r="AC120" s="48">
        <v>135</v>
      </c>
      <c r="AD120" s="48"/>
      <c r="AE120" s="48"/>
      <c r="AF120" s="48"/>
      <c r="AG120" s="83"/>
      <c r="AH120" s="83"/>
    </row>
    <row r="121" spans="1:34" s="130" customFormat="1" ht="12" customHeight="1" hidden="1" outlineLevel="1">
      <c r="A121" s="10"/>
      <c r="B121" s="46"/>
      <c r="C121" s="46"/>
      <c r="D121" s="46"/>
      <c r="E121" s="81" t="s">
        <v>502</v>
      </c>
      <c r="F121" s="126"/>
      <c r="G121" s="81"/>
      <c r="H121" s="80">
        <f t="shared" si="70"/>
        <v>95</v>
      </c>
      <c r="I121" s="263"/>
      <c r="J121" s="48">
        <v>65</v>
      </c>
      <c r="K121" s="48"/>
      <c r="L121" s="48">
        <v>30</v>
      </c>
      <c r="M121" s="48"/>
      <c r="N121" s="48"/>
      <c r="O121" s="83"/>
      <c r="P121" s="83"/>
      <c r="Q121" s="80">
        <f t="shared" si="73"/>
        <v>95</v>
      </c>
      <c r="R121" s="52"/>
      <c r="S121" s="48">
        <v>65</v>
      </c>
      <c r="T121" s="48"/>
      <c r="U121" s="48">
        <v>30</v>
      </c>
      <c r="V121" s="48"/>
      <c r="W121" s="48"/>
      <c r="X121" s="83"/>
      <c r="Y121" s="83"/>
      <c r="Z121" s="80">
        <f t="shared" si="72"/>
        <v>95</v>
      </c>
      <c r="AA121" s="52"/>
      <c r="AB121" s="48">
        <v>65</v>
      </c>
      <c r="AC121" s="48"/>
      <c r="AD121" s="48">
        <v>30</v>
      </c>
      <c r="AE121" s="48"/>
      <c r="AF121" s="48"/>
      <c r="AG121" s="83"/>
      <c r="AH121" s="83"/>
    </row>
    <row r="122" spans="1:34" s="130" customFormat="1" ht="12" customHeight="1" hidden="1" outlineLevel="1">
      <c r="A122" s="10"/>
      <c r="B122" s="46"/>
      <c r="C122" s="46"/>
      <c r="D122" s="46"/>
      <c r="E122" s="81" t="s">
        <v>503</v>
      </c>
      <c r="F122" s="126"/>
      <c r="G122" s="81"/>
      <c r="H122" s="80">
        <f t="shared" si="70"/>
        <v>137</v>
      </c>
      <c r="I122" s="263"/>
      <c r="J122" s="40"/>
      <c r="K122" s="48">
        <v>137</v>
      </c>
      <c r="L122" s="48"/>
      <c r="M122" s="48"/>
      <c r="N122" s="48"/>
      <c r="O122" s="83"/>
      <c r="P122" s="83"/>
      <c r="Q122" s="80">
        <f t="shared" si="73"/>
        <v>135</v>
      </c>
      <c r="R122" s="52"/>
      <c r="S122" s="40"/>
      <c r="T122" s="48">
        <v>135</v>
      </c>
      <c r="U122" s="48"/>
      <c r="V122" s="48"/>
      <c r="W122" s="48"/>
      <c r="X122" s="83"/>
      <c r="Y122" s="83"/>
      <c r="Z122" s="80">
        <f t="shared" si="72"/>
        <v>135</v>
      </c>
      <c r="AA122" s="52"/>
      <c r="AB122" s="40"/>
      <c r="AC122" s="48">
        <v>135</v>
      </c>
      <c r="AD122" s="48"/>
      <c r="AE122" s="48"/>
      <c r="AF122" s="48"/>
      <c r="AG122" s="83"/>
      <c r="AH122" s="83"/>
    </row>
    <row r="123" spans="1:34" s="130" customFormat="1" ht="12" customHeight="1" hidden="1" outlineLevel="1">
      <c r="A123" s="10"/>
      <c r="B123" s="46"/>
      <c r="C123" s="46"/>
      <c r="D123" s="46"/>
      <c r="E123" s="81" t="s">
        <v>504</v>
      </c>
      <c r="F123" s="126"/>
      <c r="G123" s="81"/>
      <c r="H123" s="80">
        <f t="shared" si="70"/>
        <v>132</v>
      </c>
      <c r="I123" s="263"/>
      <c r="J123" s="40"/>
      <c r="K123" s="48">
        <v>132</v>
      </c>
      <c r="L123" s="48"/>
      <c r="M123" s="48"/>
      <c r="N123" s="48"/>
      <c r="O123" s="83"/>
      <c r="P123" s="83"/>
      <c r="Q123" s="80">
        <f t="shared" si="73"/>
        <v>130</v>
      </c>
      <c r="R123" s="52"/>
      <c r="S123" s="40"/>
      <c r="T123" s="48">
        <v>130</v>
      </c>
      <c r="U123" s="48"/>
      <c r="V123" s="48"/>
      <c r="W123" s="48"/>
      <c r="X123" s="83"/>
      <c r="Y123" s="83"/>
      <c r="Z123" s="80">
        <f t="shared" si="72"/>
        <v>130</v>
      </c>
      <c r="AA123" s="52"/>
      <c r="AB123" s="40"/>
      <c r="AC123" s="48">
        <v>130</v>
      </c>
      <c r="AD123" s="48"/>
      <c r="AE123" s="48"/>
      <c r="AF123" s="48"/>
      <c r="AG123" s="83"/>
      <c r="AH123" s="83"/>
    </row>
    <row r="124" spans="1:34" s="130" customFormat="1" ht="12" customHeight="1" hidden="1" outlineLevel="1">
      <c r="A124" s="10"/>
      <c r="B124" s="46"/>
      <c r="C124" s="46"/>
      <c r="D124" s="46"/>
      <c r="E124" s="81" t="s">
        <v>505</v>
      </c>
      <c r="F124" s="126"/>
      <c r="G124" s="81"/>
      <c r="H124" s="80">
        <f t="shared" si="70"/>
        <v>74</v>
      </c>
      <c r="I124" s="263"/>
      <c r="J124" s="40"/>
      <c r="K124" s="48"/>
      <c r="L124" s="48">
        <v>74</v>
      </c>
      <c r="M124" s="48"/>
      <c r="N124" s="48"/>
      <c r="O124" s="83"/>
      <c r="P124" s="83"/>
      <c r="Q124" s="80">
        <f t="shared" si="73"/>
        <v>72</v>
      </c>
      <c r="R124" s="52"/>
      <c r="S124" s="40"/>
      <c r="T124" s="48"/>
      <c r="U124" s="48">
        <v>72</v>
      </c>
      <c r="V124" s="48"/>
      <c r="W124" s="48"/>
      <c r="X124" s="83"/>
      <c r="Y124" s="83"/>
      <c r="Z124" s="80">
        <f t="shared" si="72"/>
        <v>72</v>
      </c>
      <c r="AA124" s="52"/>
      <c r="AB124" s="40"/>
      <c r="AC124" s="48"/>
      <c r="AD124" s="48">
        <v>72</v>
      </c>
      <c r="AE124" s="48"/>
      <c r="AF124" s="48"/>
      <c r="AG124" s="83"/>
      <c r="AH124" s="83"/>
    </row>
    <row r="125" spans="1:34" s="130" customFormat="1" ht="12" customHeight="1" hidden="1" outlineLevel="1">
      <c r="A125" s="10"/>
      <c r="B125" s="46"/>
      <c r="C125" s="46"/>
      <c r="D125" s="46"/>
      <c r="E125" s="81" t="s">
        <v>506</v>
      </c>
      <c r="F125" s="126"/>
      <c r="G125" s="81"/>
      <c r="H125" s="80">
        <f t="shared" si="70"/>
        <v>57</v>
      </c>
      <c r="I125" s="263"/>
      <c r="J125" s="40"/>
      <c r="K125" s="48"/>
      <c r="L125" s="48">
        <v>57</v>
      </c>
      <c r="M125" s="48"/>
      <c r="N125" s="48"/>
      <c r="O125" s="83"/>
      <c r="P125" s="83"/>
      <c r="Q125" s="80">
        <f t="shared" si="73"/>
        <v>57</v>
      </c>
      <c r="R125" s="52"/>
      <c r="S125" s="40"/>
      <c r="T125" s="48"/>
      <c r="U125" s="48">
        <v>57</v>
      </c>
      <c r="V125" s="48"/>
      <c r="W125" s="48"/>
      <c r="X125" s="83"/>
      <c r="Y125" s="83"/>
      <c r="Z125" s="80">
        <f t="shared" si="72"/>
        <v>57</v>
      </c>
      <c r="AA125" s="52"/>
      <c r="AB125" s="40"/>
      <c r="AC125" s="48"/>
      <c r="AD125" s="48">
        <v>57</v>
      </c>
      <c r="AE125" s="48"/>
      <c r="AF125" s="48"/>
      <c r="AG125" s="83"/>
      <c r="AH125" s="83"/>
    </row>
    <row r="126" spans="1:34" s="130" customFormat="1" ht="12" customHeight="1" hidden="1" outlineLevel="1">
      <c r="A126" s="10"/>
      <c r="B126" s="46"/>
      <c r="C126" s="46"/>
      <c r="D126" s="46"/>
      <c r="E126" s="81" t="s">
        <v>507</v>
      </c>
      <c r="F126" s="126"/>
      <c r="G126" s="81"/>
      <c r="H126" s="80">
        <f t="shared" si="70"/>
        <v>51.5</v>
      </c>
      <c r="I126" s="263"/>
      <c r="J126" s="40"/>
      <c r="K126" s="48">
        <v>51.5</v>
      </c>
      <c r="L126" s="48"/>
      <c r="M126" s="48"/>
      <c r="N126" s="48"/>
      <c r="O126" s="83"/>
      <c r="P126" s="83"/>
      <c r="Q126" s="80">
        <f t="shared" si="73"/>
        <v>51.5</v>
      </c>
      <c r="R126" s="52"/>
      <c r="S126" s="40"/>
      <c r="T126" s="48">
        <v>51.5</v>
      </c>
      <c r="U126" s="48"/>
      <c r="V126" s="48"/>
      <c r="W126" s="48"/>
      <c r="X126" s="83"/>
      <c r="Y126" s="83"/>
      <c r="Z126" s="80">
        <f t="shared" si="72"/>
        <v>51.5</v>
      </c>
      <c r="AA126" s="52"/>
      <c r="AB126" s="40"/>
      <c r="AC126" s="48">
        <v>51.5</v>
      </c>
      <c r="AD126" s="48"/>
      <c r="AE126" s="48"/>
      <c r="AF126" s="48"/>
      <c r="AG126" s="83"/>
      <c r="AH126" s="83"/>
    </row>
    <row r="127" spans="1:34" s="130" customFormat="1" ht="12" customHeight="1" hidden="1" outlineLevel="1">
      <c r="A127" s="10"/>
      <c r="B127" s="46"/>
      <c r="C127" s="46"/>
      <c r="D127" s="46"/>
      <c r="E127" s="81" t="s">
        <v>508</v>
      </c>
      <c r="F127" s="126"/>
      <c r="G127" s="81"/>
      <c r="H127" s="80">
        <f t="shared" si="70"/>
        <v>28.5</v>
      </c>
      <c r="I127" s="263"/>
      <c r="J127" s="40"/>
      <c r="K127" s="48"/>
      <c r="L127" s="48">
        <v>28.5</v>
      </c>
      <c r="M127" s="48"/>
      <c r="N127" s="48"/>
      <c r="O127" s="83"/>
      <c r="P127" s="83"/>
      <c r="Q127" s="80">
        <f t="shared" si="73"/>
        <v>24</v>
      </c>
      <c r="R127" s="52"/>
      <c r="S127" s="40"/>
      <c r="T127" s="48"/>
      <c r="U127" s="48">
        <v>24</v>
      </c>
      <c r="V127" s="48"/>
      <c r="W127" s="48"/>
      <c r="X127" s="83"/>
      <c r="Y127" s="83"/>
      <c r="Z127" s="80">
        <f t="shared" si="72"/>
        <v>24</v>
      </c>
      <c r="AA127" s="52"/>
      <c r="AB127" s="40"/>
      <c r="AC127" s="48"/>
      <c r="AD127" s="48">
        <v>24</v>
      </c>
      <c r="AE127" s="48"/>
      <c r="AF127" s="48"/>
      <c r="AG127" s="83"/>
      <c r="AH127" s="83"/>
    </row>
    <row r="128" spans="1:34" s="130" customFormat="1" ht="12" customHeight="1" hidden="1" outlineLevel="1">
      <c r="A128" s="10"/>
      <c r="B128" s="46"/>
      <c r="C128" s="46"/>
      <c r="D128" s="46"/>
      <c r="E128" s="81" t="s">
        <v>509</v>
      </c>
      <c r="F128" s="126"/>
      <c r="G128" s="81"/>
      <c r="H128" s="80">
        <f t="shared" si="70"/>
        <v>93</v>
      </c>
      <c r="I128" s="263"/>
      <c r="J128" s="40"/>
      <c r="K128" s="48">
        <v>93</v>
      </c>
      <c r="L128" s="48"/>
      <c r="M128" s="48"/>
      <c r="N128" s="48"/>
      <c r="O128" s="83"/>
      <c r="P128" s="83"/>
      <c r="Q128" s="80">
        <f aca="true" t="shared" si="74" ref="Q128:Q135">SUM(R128:X128)</f>
        <v>91</v>
      </c>
      <c r="R128" s="52"/>
      <c r="S128" s="40"/>
      <c r="T128" s="48">
        <v>91</v>
      </c>
      <c r="U128" s="48"/>
      <c r="V128" s="48"/>
      <c r="W128" s="48"/>
      <c r="X128" s="83"/>
      <c r="Y128" s="83"/>
      <c r="Z128" s="80">
        <f t="shared" si="72"/>
        <v>91</v>
      </c>
      <c r="AA128" s="52"/>
      <c r="AB128" s="40"/>
      <c r="AC128" s="48">
        <v>91</v>
      </c>
      <c r="AD128" s="48"/>
      <c r="AE128" s="48"/>
      <c r="AF128" s="48"/>
      <c r="AG128" s="83"/>
      <c r="AH128" s="83"/>
    </row>
    <row r="129" spans="1:34" s="130" customFormat="1" ht="12" customHeight="1" hidden="1" outlineLevel="1">
      <c r="A129" s="10"/>
      <c r="B129" s="46"/>
      <c r="C129" s="96"/>
      <c r="D129" s="96"/>
      <c r="E129" s="81" t="s">
        <v>510</v>
      </c>
      <c r="F129" s="126"/>
      <c r="G129" s="81"/>
      <c r="H129" s="80">
        <f t="shared" si="70"/>
        <v>864</v>
      </c>
      <c r="I129" s="263">
        <v>864</v>
      </c>
      <c r="J129" s="40"/>
      <c r="K129" s="48"/>
      <c r="L129" s="48"/>
      <c r="M129" s="48"/>
      <c r="N129" s="48"/>
      <c r="O129" s="83"/>
      <c r="P129" s="83"/>
      <c r="Q129" s="80">
        <f t="shared" si="74"/>
        <v>864</v>
      </c>
      <c r="R129" s="52">
        <v>864</v>
      </c>
      <c r="S129" s="40"/>
      <c r="T129" s="48"/>
      <c r="U129" s="48"/>
      <c r="V129" s="48"/>
      <c r="W129" s="48"/>
      <c r="X129" s="83"/>
      <c r="Y129" s="83"/>
      <c r="Z129" s="80">
        <f t="shared" si="72"/>
        <v>864</v>
      </c>
      <c r="AA129" s="52">
        <v>864</v>
      </c>
      <c r="AB129" s="40"/>
      <c r="AC129" s="48"/>
      <c r="AD129" s="48"/>
      <c r="AE129" s="48"/>
      <c r="AF129" s="48"/>
      <c r="AG129" s="83"/>
      <c r="AH129" s="83"/>
    </row>
    <row r="130" spans="1:34" s="130" customFormat="1" ht="12" customHeight="1" hidden="1" outlineLevel="1">
      <c r="A130" s="10"/>
      <c r="B130" s="46"/>
      <c r="C130" s="46"/>
      <c r="D130" s="46"/>
      <c r="E130" s="81" t="s">
        <v>511</v>
      </c>
      <c r="F130" s="126"/>
      <c r="G130" s="81"/>
      <c r="H130" s="80">
        <f t="shared" si="70"/>
        <v>148</v>
      </c>
      <c r="I130" s="263"/>
      <c r="J130" s="40"/>
      <c r="K130" s="48"/>
      <c r="L130" s="48"/>
      <c r="M130" s="48"/>
      <c r="N130" s="48">
        <v>148</v>
      </c>
      <c r="O130" s="83"/>
      <c r="P130" s="83"/>
      <c r="Q130" s="80">
        <f t="shared" si="74"/>
        <v>146</v>
      </c>
      <c r="R130" s="52"/>
      <c r="S130" s="40"/>
      <c r="T130" s="48"/>
      <c r="U130" s="48"/>
      <c r="V130" s="48"/>
      <c r="W130" s="48">
        <v>146</v>
      </c>
      <c r="X130" s="83"/>
      <c r="Y130" s="83"/>
      <c r="Z130" s="80">
        <f t="shared" si="72"/>
        <v>146</v>
      </c>
      <c r="AA130" s="52"/>
      <c r="AB130" s="40"/>
      <c r="AC130" s="48"/>
      <c r="AD130" s="48"/>
      <c r="AE130" s="48"/>
      <c r="AF130" s="48">
        <v>146</v>
      </c>
      <c r="AG130" s="83"/>
      <c r="AH130" s="83"/>
    </row>
    <row r="131" spans="1:34" s="130" customFormat="1" ht="12" customHeight="1" hidden="1" outlineLevel="1">
      <c r="A131" s="10"/>
      <c r="B131" s="46"/>
      <c r="C131" s="46"/>
      <c r="D131" s="46"/>
      <c r="E131" s="81" t="s">
        <v>512</v>
      </c>
      <c r="F131" s="126"/>
      <c r="G131" s="81"/>
      <c r="H131" s="80">
        <f>SUM(I131:P131)</f>
        <v>32</v>
      </c>
      <c r="I131" s="263"/>
      <c r="J131" s="40"/>
      <c r="K131" s="48"/>
      <c r="L131" s="48"/>
      <c r="M131" s="48"/>
      <c r="N131" s="48">
        <v>32</v>
      </c>
      <c r="O131" s="83"/>
      <c r="P131" s="83"/>
      <c r="Q131" s="80">
        <f t="shared" si="74"/>
        <v>31</v>
      </c>
      <c r="R131" s="52"/>
      <c r="S131" s="40"/>
      <c r="T131" s="48"/>
      <c r="U131" s="48"/>
      <c r="V131" s="48"/>
      <c r="W131" s="48">
        <v>31</v>
      </c>
      <c r="X131" s="83"/>
      <c r="Y131" s="83"/>
      <c r="Z131" s="80">
        <f t="shared" si="72"/>
        <v>31</v>
      </c>
      <c r="AA131" s="52"/>
      <c r="AB131" s="40"/>
      <c r="AC131" s="48"/>
      <c r="AD131" s="48"/>
      <c r="AE131" s="48"/>
      <c r="AF131" s="48">
        <v>31</v>
      </c>
      <c r="AG131" s="83"/>
      <c r="AH131" s="83"/>
    </row>
    <row r="132" spans="1:34" s="130" customFormat="1" ht="12" customHeight="1" hidden="1" outlineLevel="1">
      <c r="A132" s="10"/>
      <c r="B132" s="46"/>
      <c r="C132" s="46"/>
      <c r="D132" s="46"/>
      <c r="E132" s="81" t="s">
        <v>513</v>
      </c>
      <c r="F132" s="126"/>
      <c r="G132" s="81"/>
      <c r="H132" s="80">
        <f t="shared" si="70"/>
        <v>33</v>
      </c>
      <c r="I132" s="263"/>
      <c r="J132" s="48">
        <v>33</v>
      </c>
      <c r="K132" s="48"/>
      <c r="L132" s="48"/>
      <c r="M132" s="48"/>
      <c r="N132" s="48"/>
      <c r="O132" s="83"/>
      <c r="P132" s="83"/>
      <c r="Q132" s="80">
        <f t="shared" si="74"/>
        <v>33</v>
      </c>
      <c r="R132" s="52"/>
      <c r="S132" s="48">
        <v>33</v>
      </c>
      <c r="T132" s="48"/>
      <c r="U132" s="48"/>
      <c r="V132" s="48"/>
      <c r="W132" s="48"/>
      <c r="X132" s="83"/>
      <c r="Y132" s="83"/>
      <c r="Z132" s="80">
        <f t="shared" si="72"/>
        <v>33</v>
      </c>
      <c r="AA132" s="52"/>
      <c r="AB132" s="48">
        <v>33</v>
      </c>
      <c r="AC132" s="48"/>
      <c r="AD132" s="48"/>
      <c r="AE132" s="48"/>
      <c r="AF132" s="48"/>
      <c r="AG132" s="83"/>
      <c r="AH132" s="83"/>
    </row>
    <row r="133" spans="1:34" s="130" customFormat="1" ht="12" customHeight="1" hidden="1" outlineLevel="1">
      <c r="A133" s="10"/>
      <c r="B133" s="46"/>
      <c r="C133" s="46">
        <f>285/3824</f>
        <v>0.07452928870292887</v>
      </c>
      <c r="D133" s="46"/>
      <c r="E133" s="81" t="s">
        <v>514</v>
      </c>
      <c r="F133" s="126"/>
      <c r="G133" s="81"/>
      <c r="H133" s="80">
        <f t="shared" si="70"/>
        <v>92</v>
      </c>
      <c r="I133" s="263"/>
      <c r="J133" s="48">
        <v>92</v>
      </c>
      <c r="K133" s="48"/>
      <c r="L133" s="48"/>
      <c r="M133" s="48"/>
      <c r="N133" s="48"/>
      <c r="O133" s="83"/>
      <c r="P133" s="83"/>
      <c r="Q133" s="80">
        <f t="shared" si="74"/>
        <v>92</v>
      </c>
      <c r="R133" s="52"/>
      <c r="S133" s="48">
        <v>92</v>
      </c>
      <c r="T133" s="48"/>
      <c r="U133" s="48"/>
      <c r="V133" s="48"/>
      <c r="W133" s="48"/>
      <c r="X133" s="83"/>
      <c r="Y133" s="83"/>
      <c r="Z133" s="80">
        <f t="shared" si="72"/>
        <v>92</v>
      </c>
      <c r="AA133" s="52"/>
      <c r="AB133" s="48">
        <v>92</v>
      </c>
      <c r="AC133" s="48"/>
      <c r="AD133" s="48"/>
      <c r="AE133" s="48"/>
      <c r="AF133" s="48"/>
      <c r="AG133" s="83"/>
      <c r="AH133" s="83"/>
    </row>
    <row r="134" spans="1:34" s="130" customFormat="1" ht="12" customHeight="1" hidden="1" outlineLevel="1">
      <c r="A134" s="10"/>
      <c r="B134" s="46"/>
      <c r="C134" s="46"/>
      <c r="D134" s="46"/>
      <c r="E134" s="81" t="s">
        <v>515</v>
      </c>
      <c r="F134" s="126"/>
      <c r="G134" s="81"/>
      <c r="H134" s="80">
        <f t="shared" si="70"/>
        <v>60</v>
      </c>
      <c r="I134" s="263"/>
      <c r="J134" s="48">
        <v>60</v>
      </c>
      <c r="K134" s="48"/>
      <c r="L134" s="48"/>
      <c r="M134" s="48"/>
      <c r="N134" s="48"/>
      <c r="O134" s="83"/>
      <c r="P134" s="83"/>
      <c r="Q134" s="80">
        <f t="shared" si="74"/>
        <v>58</v>
      </c>
      <c r="R134" s="52"/>
      <c r="S134" s="48">
        <v>58</v>
      </c>
      <c r="T134" s="48"/>
      <c r="U134" s="48"/>
      <c r="V134" s="48"/>
      <c r="W134" s="48"/>
      <c r="X134" s="83"/>
      <c r="Y134" s="83"/>
      <c r="Z134" s="80">
        <f t="shared" si="72"/>
        <v>58</v>
      </c>
      <c r="AA134" s="52"/>
      <c r="AB134" s="48">
        <v>58</v>
      </c>
      <c r="AC134" s="48"/>
      <c r="AD134" s="48"/>
      <c r="AE134" s="48"/>
      <c r="AF134" s="48"/>
      <c r="AG134" s="83"/>
      <c r="AH134" s="83"/>
    </row>
    <row r="135" spans="1:34" s="130" customFormat="1" ht="12" customHeight="1" hidden="1" outlineLevel="1">
      <c r="A135" s="10"/>
      <c r="B135" s="46"/>
      <c r="C135" s="46"/>
      <c r="D135" s="46"/>
      <c r="E135" s="81" t="s">
        <v>516</v>
      </c>
      <c r="F135" s="126"/>
      <c r="G135" s="81"/>
      <c r="H135" s="80">
        <f t="shared" si="70"/>
        <v>60</v>
      </c>
      <c r="I135" s="263"/>
      <c r="J135" s="48">
        <v>60</v>
      </c>
      <c r="K135" s="48"/>
      <c r="L135" s="48"/>
      <c r="M135" s="48"/>
      <c r="N135" s="48"/>
      <c r="O135" s="83"/>
      <c r="P135" s="83"/>
      <c r="Q135" s="80">
        <f t="shared" si="74"/>
        <v>60</v>
      </c>
      <c r="R135" s="52"/>
      <c r="S135" s="48">
        <v>60</v>
      </c>
      <c r="T135" s="48"/>
      <c r="U135" s="48"/>
      <c r="V135" s="48"/>
      <c r="W135" s="48"/>
      <c r="X135" s="83"/>
      <c r="Y135" s="83"/>
      <c r="Z135" s="80">
        <f t="shared" si="72"/>
        <v>60</v>
      </c>
      <c r="AA135" s="52"/>
      <c r="AB135" s="48">
        <v>60</v>
      </c>
      <c r="AC135" s="48"/>
      <c r="AD135" s="48"/>
      <c r="AE135" s="48"/>
      <c r="AF135" s="48"/>
      <c r="AG135" s="83"/>
      <c r="AH135" s="83"/>
    </row>
    <row r="136" spans="1:34" s="130" customFormat="1" ht="12" customHeight="1" hidden="1" outlineLevel="1">
      <c r="A136" s="10"/>
      <c r="B136" s="46"/>
      <c r="C136" s="46"/>
      <c r="D136" s="46"/>
      <c r="E136" s="81" t="s">
        <v>517</v>
      </c>
      <c r="F136" s="126"/>
      <c r="G136" s="81"/>
      <c r="H136" s="80">
        <f t="shared" si="70"/>
        <v>88</v>
      </c>
      <c r="I136" s="263"/>
      <c r="J136" s="48">
        <v>88</v>
      </c>
      <c r="K136" s="48"/>
      <c r="L136" s="48"/>
      <c r="M136" s="48"/>
      <c r="N136" s="48"/>
      <c r="O136" s="83"/>
      <c r="P136" s="83"/>
      <c r="Q136" s="80">
        <f aca="true" t="shared" si="75" ref="Q136:Q141">SUM(R136:X136)</f>
        <v>88</v>
      </c>
      <c r="R136" s="52"/>
      <c r="S136" s="48">
        <v>88</v>
      </c>
      <c r="T136" s="48"/>
      <c r="U136" s="48"/>
      <c r="V136" s="48"/>
      <c r="W136" s="48"/>
      <c r="X136" s="83"/>
      <c r="Y136" s="83"/>
      <c r="Z136" s="80">
        <f t="shared" si="72"/>
        <v>88</v>
      </c>
      <c r="AA136" s="52"/>
      <c r="AB136" s="48">
        <v>88</v>
      </c>
      <c r="AC136" s="48"/>
      <c r="AD136" s="48"/>
      <c r="AE136" s="48"/>
      <c r="AF136" s="48"/>
      <c r="AG136" s="83"/>
      <c r="AH136" s="83"/>
    </row>
    <row r="137" spans="1:34" s="130" customFormat="1" ht="12" customHeight="1" hidden="1" outlineLevel="1">
      <c r="A137" s="10"/>
      <c r="B137" s="46"/>
      <c r="C137" s="46"/>
      <c r="D137" s="46"/>
      <c r="E137" s="81" t="s">
        <v>518</v>
      </c>
      <c r="F137" s="126"/>
      <c r="G137" s="81"/>
      <c r="H137" s="80">
        <f t="shared" si="70"/>
        <v>104.2</v>
      </c>
      <c r="I137" s="263"/>
      <c r="J137" s="48">
        <v>104.2</v>
      </c>
      <c r="K137" s="48"/>
      <c r="L137" s="48"/>
      <c r="M137" s="48"/>
      <c r="N137" s="48"/>
      <c r="O137" s="83"/>
      <c r="P137" s="83"/>
      <c r="Q137" s="80">
        <f t="shared" si="75"/>
        <v>104.2</v>
      </c>
      <c r="R137" s="52"/>
      <c r="S137" s="48">
        <v>104.2</v>
      </c>
      <c r="T137" s="48"/>
      <c r="U137" s="48"/>
      <c r="V137" s="48"/>
      <c r="W137" s="48"/>
      <c r="X137" s="83"/>
      <c r="Y137" s="83"/>
      <c r="Z137" s="80">
        <f t="shared" si="72"/>
        <v>104.2</v>
      </c>
      <c r="AA137" s="52"/>
      <c r="AB137" s="48">
        <v>104.2</v>
      </c>
      <c r="AC137" s="48"/>
      <c r="AD137" s="48"/>
      <c r="AE137" s="48"/>
      <c r="AF137" s="48"/>
      <c r="AG137" s="83"/>
      <c r="AH137" s="83"/>
    </row>
    <row r="138" spans="1:34" s="130" customFormat="1" ht="12" customHeight="1" hidden="1" outlineLevel="1">
      <c r="A138" s="10"/>
      <c r="B138" s="46"/>
      <c r="C138" s="46"/>
      <c r="D138" s="46"/>
      <c r="E138" s="81" t="s">
        <v>519</v>
      </c>
      <c r="F138" s="126"/>
      <c r="G138" s="81"/>
      <c r="H138" s="80">
        <f t="shared" si="70"/>
        <v>60</v>
      </c>
      <c r="I138" s="263"/>
      <c r="J138" s="48">
        <v>60</v>
      </c>
      <c r="K138" s="48"/>
      <c r="L138" s="48"/>
      <c r="M138" s="48"/>
      <c r="N138" s="48"/>
      <c r="O138" s="83"/>
      <c r="P138" s="83"/>
      <c r="Q138" s="80">
        <f t="shared" si="75"/>
        <v>58</v>
      </c>
      <c r="R138" s="52"/>
      <c r="S138" s="48">
        <v>58</v>
      </c>
      <c r="T138" s="48"/>
      <c r="U138" s="48"/>
      <c r="V138" s="48"/>
      <c r="W138" s="48"/>
      <c r="X138" s="83"/>
      <c r="Y138" s="83"/>
      <c r="Z138" s="80">
        <f t="shared" si="72"/>
        <v>58</v>
      </c>
      <c r="AA138" s="52"/>
      <c r="AB138" s="48">
        <v>58</v>
      </c>
      <c r="AC138" s="48"/>
      <c r="AD138" s="48"/>
      <c r="AE138" s="48"/>
      <c r="AF138" s="48"/>
      <c r="AG138" s="83"/>
      <c r="AH138" s="83"/>
    </row>
    <row r="139" spans="1:34" s="130" customFormat="1" ht="12" customHeight="1" hidden="1" outlineLevel="1">
      <c r="A139" s="10"/>
      <c r="B139" s="46"/>
      <c r="C139" s="46"/>
      <c r="D139" s="46"/>
      <c r="E139" s="81" t="s">
        <v>520</v>
      </c>
      <c r="F139" s="126"/>
      <c r="G139" s="81"/>
      <c r="H139" s="80">
        <f t="shared" si="70"/>
        <v>15</v>
      </c>
      <c r="I139" s="263"/>
      <c r="J139" s="48">
        <v>15</v>
      </c>
      <c r="K139" s="48"/>
      <c r="L139" s="48"/>
      <c r="M139" s="48"/>
      <c r="N139" s="48"/>
      <c r="O139" s="83"/>
      <c r="P139" s="83"/>
      <c r="Q139" s="80">
        <f t="shared" si="75"/>
        <v>15</v>
      </c>
      <c r="R139" s="52"/>
      <c r="S139" s="48">
        <v>15</v>
      </c>
      <c r="T139" s="48"/>
      <c r="U139" s="48"/>
      <c r="V139" s="48"/>
      <c r="W139" s="48"/>
      <c r="X139" s="83"/>
      <c r="Y139" s="83"/>
      <c r="Z139" s="80">
        <f t="shared" si="72"/>
        <v>15</v>
      </c>
      <c r="AA139" s="52"/>
      <c r="AB139" s="48">
        <v>15</v>
      </c>
      <c r="AC139" s="48"/>
      <c r="AD139" s="48"/>
      <c r="AE139" s="48"/>
      <c r="AF139" s="48"/>
      <c r="AG139" s="83"/>
      <c r="AH139" s="83"/>
    </row>
    <row r="140" spans="1:34" s="130" customFormat="1" ht="12" customHeight="1" hidden="1" outlineLevel="1">
      <c r="A140" s="10"/>
      <c r="B140" s="46"/>
      <c r="C140" s="46"/>
      <c r="D140" s="46"/>
      <c r="E140" s="81" t="s">
        <v>521</v>
      </c>
      <c r="F140" s="126"/>
      <c r="G140" s="81"/>
      <c r="H140" s="80">
        <f t="shared" si="70"/>
        <v>15</v>
      </c>
      <c r="I140" s="263"/>
      <c r="J140" s="48">
        <v>15</v>
      </c>
      <c r="K140" s="48"/>
      <c r="L140" s="48"/>
      <c r="M140" s="48"/>
      <c r="N140" s="48"/>
      <c r="O140" s="83"/>
      <c r="P140" s="83"/>
      <c r="Q140" s="80">
        <f t="shared" si="75"/>
        <v>15</v>
      </c>
      <c r="R140" s="52"/>
      <c r="S140" s="48">
        <v>15</v>
      </c>
      <c r="T140" s="48"/>
      <c r="U140" s="48"/>
      <c r="V140" s="48"/>
      <c r="W140" s="48"/>
      <c r="X140" s="83"/>
      <c r="Y140" s="83"/>
      <c r="Z140" s="80">
        <f t="shared" si="72"/>
        <v>15</v>
      </c>
      <c r="AA140" s="52"/>
      <c r="AB140" s="48">
        <v>15</v>
      </c>
      <c r="AC140" s="48"/>
      <c r="AD140" s="48"/>
      <c r="AE140" s="48"/>
      <c r="AF140" s="48"/>
      <c r="AG140" s="83"/>
      <c r="AH140" s="83"/>
    </row>
    <row r="141" spans="1:34" s="130" customFormat="1" ht="12" customHeight="1" hidden="1" outlineLevel="1">
      <c r="A141" s="10"/>
      <c r="B141" s="46"/>
      <c r="C141" s="46"/>
      <c r="D141" s="46"/>
      <c r="E141" s="81" t="s">
        <v>522</v>
      </c>
      <c r="F141" s="126"/>
      <c r="G141" s="81"/>
      <c r="H141" s="80">
        <f t="shared" si="70"/>
        <v>15</v>
      </c>
      <c r="I141" s="263"/>
      <c r="J141" s="48">
        <v>15</v>
      </c>
      <c r="K141" s="48"/>
      <c r="L141" s="48"/>
      <c r="M141" s="48"/>
      <c r="N141" s="48"/>
      <c r="O141" s="83"/>
      <c r="P141" s="83"/>
      <c r="Q141" s="80">
        <f t="shared" si="75"/>
        <v>15</v>
      </c>
      <c r="R141" s="52"/>
      <c r="S141" s="48">
        <v>15</v>
      </c>
      <c r="T141" s="48"/>
      <c r="U141" s="48"/>
      <c r="V141" s="48"/>
      <c r="W141" s="48"/>
      <c r="X141" s="83"/>
      <c r="Y141" s="83"/>
      <c r="Z141" s="80">
        <f t="shared" si="72"/>
        <v>15</v>
      </c>
      <c r="AA141" s="52"/>
      <c r="AB141" s="48">
        <v>15</v>
      </c>
      <c r="AC141" s="48"/>
      <c r="AD141" s="48"/>
      <c r="AE141" s="48"/>
      <c r="AF141" s="48"/>
      <c r="AG141" s="83"/>
      <c r="AH141" s="83"/>
    </row>
    <row r="142" spans="1:34" s="129" customFormat="1" ht="12" customHeight="1" hidden="1" outlineLevel="1">
      <c r="A142" s="98"/>
      <c r="B142" s="46"/>
      <c r="C142" s="46"/>
      <c r="D142" s="46"/>
      <c r="E142" s="81" t="s">
        <v>471</v>
      </c>
      <c r="F142" s="126"/>
      <c r="G142" s="81"/>
      <c r="H142" s="99">
        <f>H110/$H$110</f>
        <v>1</v>
      </c>
      <c r="I142" s="261">
        <f aca="true" t="shared" si="76" ref="I142:P142">I110/$H$110</f>
        <v>0.23587866108786612</v>
      </c>
      <c r="J142" s="99">
        <f t="shared" si="76"/>
        <v>0.20978033472803348</v>
      </c>
      <c r="K142" s="99">
        <f t="shared" si="76"/>
        <v>0.17220188284518828</v>
      </c>
      <c r="L142" s="99">
        <f t="shared" si="76"/>
        <v>0.11409518828451883</v>
      </c>
      <c r="M142" s="99">
        <f t="shared" si="76"/>
        <v>0.16736401673640167</v>
      </c>
      <c r="N142" s="99">
        <f t="shared" si="76"/>
        <v>0.05099372384937238</v>
      </c>
      <c r="O142" s="99">
        <f t="shared" si="76"/>
        <v>0.049686192468619245</v>
      </c>
      <c r="P142" s="99">
        <f t="shared" si="76"/>
        <v>0</v>
      </c>
      <c r="Q142" s="99">
        <f>Q110/$Q$110</f>
        <v>1</v>
      </c>
      <c r="R142" s="99">
        <f aca="true" t="shared" si="77" ref="R142:Y142">R110/$Q$110</f>
        <v>0.25487785925203804</v>
      </c>
      <c r="S142" s="99">
        <f t="shared" si="77"/>
        <v>0.2241342771160938</v>
      </c>
      <c r="T142" s="99">
        <f t="shared" si="77"/>
        <v>0.18155102502154594</v>
      </c>
      <c r="U142" s="99">
        <f t="shared" si="77"/>
        <v>0.12037468740728183</v>
      </c>
      <c r="V142" s="99">
        <f t="shared" si="77"/>
        <v>0.11493522089885419</v>
      </c>
      <c r="W142" s="99">
        <f t="shared" si="77"/>
        <v>0.05425338023990167</v>
      </c>
      <c r="X142" s="99">
        <f t="shared" si="77"/>
        <v>0.04987355006428461</v>
      </c>
      <c r="Y142" s="99">
        <f t="shared" si="77"/>
        <v>0</v>
      </c>
      <c r="Z142" s="99">
        <f>Z110/$Z$110</f>
        <v>1</v>
      </c>
      <c r="AA142" s="99">
        <f aca="true" t="shared" si="78" ref="AA142:AH142">AA110/$Z$110</f>
        <v>0.25487785925203804</v>
      </c>
      <c r="AB142" s="99">
        <f t="shared" si="78"/>
        <v>0.20576724734737706</v>
      </c>
      <c r="AC142" s="99">
        <f t="shared" si="78"/>
        <v>0.18155102502154594</v>
      </c>
      <c r="AD142" s="99">
        <f t="shared" si="78"/>
        <v>0.12037468740728183</v>
      </c>
      <c r="AE142" s="99">
        <f t="shared" si="78"/>
        <v>0.11493522089885419</v>
      </c>
      <c r="AF142" s="99">
        <f t="shared" si="78"/>
        <v>0.05425338023990167</v>
      </c>
      <c r="AG142" s="99">
        <f t="shared" si="78"/>
        <v>0.04987355006428461</v>
      </c>
      <c r="AH142" s="99">
        <f t="shared" si="78"/>
        <v>0.018367029768716712</v>
      </c>
    </row>
    <row r="143" spans="1:35" s="129" customFormat="1" ht="12" customHeight="1" hidden="1" outlineLevel="1">
      <c r="A143" s="98"/>
      <c r="B143" s="46"/>
      <c r="C143" s="46"/>
      <c r="D143" s="46"/>
      <c r="E143" s="81" t="s">
        <v>648</v>
      </c>
      <c r="F143" s="126"/>
      <c r="G143" s="81"/>
      <c r="H143" s="99"/>
      <c r="I143" s="261"/>
      <c r="J143" s="99"/>
      <c r="K143" s="99"/>
      <c r="L143" s="99"/>
      <c r="M143" s="99"/>
      <c r="N143" s="99"/>
      <c r="O143" s="99"/>
      <c r="P143" s="99"/>
      <c r="Q143" s="65">
        <f aca="true" t="shared" si="79" ref="Q143:AH143">Q110-H110</f>
        <v>-285.0500000000002</v>
      </c>
      <c r="R143" s="65">
        <f t="shared" si="79"/>
        <v>0</v>
      </c>
      <c r="S143" s="65">
        <f t="shared" si="79"/>
        <v>-9</v>
      </c>
      <c r="T143" s="65">
        <f t="shared" si="79"/>
        <v>-16</v>
      </c>
      <c r="U143" s="65">
        <f t="shared" si="79"/>
        <v>-10.300000000000011</v>
      </c>
      <c r="V143" s="65">
        <f t="shared" si="79"/>
        <v>-233.25</v>
      </c>
      <c r="W143" s="65">
        <f t="shared" si="79"/>
        <v>-3</v>
      </c>
      <c r="X143" s="65">
        <f t="shared" si="79"/>
        <v>-13.5</v>
      </c>
      <c r="Y143" s="65">
        <f t="shared" si="79"/>
        <v>0</v>
      </c>
      <c r="Z143" s="65">
        <f t="shared" si="79"/>
        <v>0</v>
      </c>
      <c r="AA143" s="65">
        <f t="shared" si="79"/>
        <v>0</v>
      </c>
      <c r="AB143" s="65">
        <f t="shared" si="79"/>
        <v>-65</v>
      </c>
      <c r="AC143" s="65">
        <f t="shared" si="79"/>
        <v>0</v>
      </c>
      <c r="AD143" s="65">
        <f t="shared" si="79"/>
        <v>0</v>
      </c>
      <c r="AE143" s="65">
        <f t="shared" si="79"/>
        <v>0</v>
      </c>
      <c r="AF143" s="65">
        <f t="shared" si="79"/>
        <v>0</v>
      </c>
      <c r="AG143" s="65">
        <f t="shared" si="79"/>
        <v>0</v>
      </c>
      <c r="AH143" s="65">
        <f t="shared" si="79"/>
        <v>65</v>
      </c>
      <c r="AI143" s="158"/>
    </row>
    <row r="144" spans="1:34" s="130" customFormat="1" ht="12" customHeight="1" hidden="1" outlineLevel="1">
      <c r="A144" s="10"/>
      <c r="B144" s="46"/>
      <c r="C144" s="46"/>
      <c r="D144" s="46"/>
      <c r="E144" s="43" t="s">
        <v>649</v>
      </c>
      <c r="F144" s="44"/>
      <c r="G144" s="43"/>
      <c r="H144" s="49"/>
      <c r="I144" s="262"/>
      <c r="J144" s="49"/>
      <c r="K144" s="49"/>
      <c r="L144" s="49"/>
      <c r="M144" s="49"/>
      <c r="N144" s="49"/>
      <c r="O144" s="49"/>
      <c r="P144" s="49"/>
      <c r="Q144" s="49"/>
      <c r="R144" s="49"/>
      <c r="S144" s="84"/>
      <c r="T144" s="49"/>
      <c r="U144" s="49"/>
      <c r="V144" s="49"/>
      <c r="W144" s="49"/>
      <c r="X144" s="49"/>
      <c r="Y144" s="49"/>
      <c r="Z144" s="80">
        <f>Z110-H110</f>
        <v>-285.0500000000002</v>
      </c>
      <c r="AA144" s="80">
        <f aca="true" t="shared" si="80" ref="AA144:AH144">AA110-I110</f>
        <v>0</v>
      </c>
      <c r="AB144" s="80">
        <f t="shared" si="80"/>
        <v>-74</v>
      </c>
      <c r="AC144" s="80">
        <f t="shared" si="80"/>
        <v>-16</v>
      </c>
      <c r="AD144" s="80">
        <f t="shared" si="80"/>
        <v>-10.300000000000011</v>
      </c>
      <c r="AE144" s="80">
        <f t="shared" si="80"/>
        <v>-233.25</v>
      </c>
      <c r="AF144" s="80">
        <f t="shared" si="80"/>
        <v>-3</v>
      </c>
      <c r="AG144" s="80">
        <f t="shared" si="80"/>
        <v>-13.5</v>
      </c>
      <c r="AH144" s="80">
        <f t="shared" si="80"/>
        <v>65</v>
      </c>
    </row>
    <row r="145" spans="1:43" s="130" customFormat="1" ht="12" customHeight="1" collapsed="1">
      <c r="A145" s="117">
        <v>15</v>
      </c>
      <c r="B145" s="118" t="s">
        <v>482</v>
      </c>
      <c r="C145" s="118" t="s">
        <v>635</v>
      </c>
      <c r="D145" s="118"/>
      <c r="E145" s="119"/>
      <c r="F145" s="125">
        <f>SUM(F146:F162)</f>
        <v>63</v>
      </c>
      <c r="G145" s="125">
        <f>SUM(G146:G162)</f>
        <v>124.39000000000001</v>
      </c>
      <c r="H145" s="89">
        <f>SUM(H146:H162)</f>
        <v>996.4799999999999</v>
      </c>
      <c r="I145" s="259">
        <v>182.2</v>
      </c>
      <c r="J145" s="89">
        <v>67.3</v>
      </c>
      <c r="K145" s="89">
        <v>260</v>
      </c>
      <c r="L145" s="89">
        <v>220</v>
      </c>
      <c r="M145" s="89">
        <v>122</v>
      </c>
      <c r="N145" s="89">
        <v>100</v>
      </c>
      <c r="O145" s="89">
        <v>45</v>
      </c>
      <c r="P145" s="89">
        <f aca="true" t="shared" si="81" ref="P145:AQ145">SUM(P146:P162)</f>
        <v>0</v>
      </c>
      <c r="Q145" s="111">
        <f t="shared" si="81"/>
        <v>996.4799999999999</v>
      </c>
      <c r="R145" s="89">
        <f t="shared" si="81"/>
        <v>182.16</v>
      </c>
      <c r="S145" s="89">
        <f t="shared" si="81"/>
        <v>67.32000000000001</v>
      </c>
      <c r="T145" s="89">
        <f t="shared" si="81"/>
        <v>260</v>
      </c>
      <c r="U145" s="89">
        <f t="shared" si="81"/>
        <v>220</v>
      </c>
      <c r="V145" s="89">
        <f t="shared" si="81"/>
        <v>122</v>
      </c>
      <c r="W145" s="89">
        <f t="shared" si="81"/>
        <v>100</v>
      </c>
      <c r="X145" s="89">
        <f t="shared" si="81"/>
        <v>45</v>
      </c>
      <c r="Y145" s="89">
        <f t="shared" si="81"/>
        <v>0</v>
      </c>
      <c r="Z145" s="111">
        <f>SUM(Z146:Z162)</f>
        <v>996.4799999999999</v>
      </c>
      <c r="AA145" s="89">
        <f t="shared" si="81"/>
        <v>182.16</v>
      </c>
      <c r="AB145" s="89">
        <f t="shared" si="81"/>
        <v>67.32000000000001</v>
      </c>
      <c r="AC145" s="89">
        <f t="shared" si="81"/>
        <v>260</v>
      </c>
      <c r="AD145" s="89">
        <f t="shared" si="81"/>
        <v>220</v>
      </c>
      <c r="AE145" s="89">
        <f t="shared" si="81"/>
        <v>122</v>
      </c>
      <c r="AF145" s="89">
        <f t="shared" si="81"/>
        <v>100</v>
      </c>
      <c r="AG145" s="89">
        <f t="shared" si="81"/>
        <v>45</v>
      </c>
      <c r="AH145" s="89">
        <f t="shared" si="81"/>
        <v>0</v>
      </c>
      <c r="AI145" s="111">
        <f t="shared" si="81"/>
        <v>996.48</v>
      </c>
      <c r="AJ145" s="89">
        <f t="shared" si="81"/>
        <v>611.3</v>
      </c>
      <c r="AK145" s="89">
        <f t="shared" si="81"/>
        <v>0</v>
      </c>
      <c r="AL145" s="89">
        <f t="shared" si="81"/>
        <v>105</v>
      </c>
      <c r="AM145" s="89">
        <f t="shared" si="81"/>
        <v>175</v>
      </c>
      <c r="AN145" s="89">
        <f t="shared" si="81"/>
        <v>20</v>
      </c>
      <c r="AO145" s="89">
        <f t="shared" si="81"/>
        <v>10</v>
      </c>
      <c r="AP145" s="89">
        <f t="shared" si="81"/>
        <v>45.2</v>
      </c>
      <c r="AQ145" s="89">
        <f t="shared" si="81"/>
        <v>29.98</v>
      </c>
    </row>
    <row r="146" spans="1:42" s="130" customFormat="1" ht="12" customHeight="1" hidden="1" outlineLevel="1">
      <c r="A146" s="10"/>
      <c r="B146" s="46"/>
      <c r="C146" s="145">
        <f>Z145*0.65</f>
        <v>647.712</v>
      </c>
      <c r="D146" s="46"/>
      <c r="E146" s="121" t="s">
        <v>634</v>
      </c>
      <c r="F146" s="142">
        <v>10</v>
      </c>
      <c r="G146" s="64">
        <v>23</v>
      </c>
      <c r="H146" s="143">
        <v>39.6</v>
      </c>
      <c r="I146" s="263"/>
      <c r="J146" s="48"/>
      <c r="K146" s="48"/>
      <c r="L146" s="48"/>
      <c r="M146" s="48"/>
      <c r="N146" s="48"/>
      <c r="O146" s="83"/>
      <c r="P146" s="83"/>
      <c r="Q146" s="80">
        <f aca="true" t="shared" si="82" ref="Q146:Q162">SUM(R146:X146)</f>
        <v>39.6</v>
      </c>
      <c r="R146" s="144">
        <v>39.6</v>
      </c>
      <c r="S146" s="144"/>
      <c r="T146" s="144"/>
      <c r="U146" s="144"/>
      <c r="V146" s="144"/>
      <c r="W146" s="144"/>
      <c r="X146" s="144"/>
      <c r="Y146" s="83"/>
      <c r="Z146" s="80">
        <f aca="true" t="shared" si="83" ref="Z146:Z162">SUM(AA146:AG146)</f>
        <v>39.6</v>
      </c>
      <c r="AA146" s="144">
        <v>39.6</v>
      </c>
      <c r="AB146" s="144"/>
      <c r="AC146" s="144"/>
      <c r="AD146" s="144"/>
      <c r="AE146" s="144"/>
      <c r="AF146" s="144"/>
      <c r="AG146" s="144"/>
      <c r="AH146" s="83"/>
      <c r="AI146" s="80">
        <f>SUM(AJ146:AP146)</f>
        <v>39.6</v>
      </c>
      <c r="AJ146" s="858">
        <v>39.6</v>
      </c>
      <c r="AK146" s="858"/>
      <c r="AL146" s="858"/>
      <c r="AM146" s="858"/>
      <c r="AN146" s="858"/>
      <c r="AO146" s="858"/>
      <c r="AP146" s="858"/>
    </row>
    <row r="147" spans="1:42" s="130" customFormat="1" ht="12" customHeight="1" hidden="1" outlineLevel="1">
      <c r="A147" s="10"/>
      <c r="B147" s="46"/>
      <c r="C147" s="46"/>
      <c r="D147" s="46"/>
      <c r="E147" s="121" t="s">
        <v>617</v>
      </c>
      <c r="F147" s="142">
        <v>1.5</v>
      </c>
      <c r="G147" s="64">
        <v>2.6</v>
      </c>
      <c r="H147" s="143">
        <v>5.94</v>
      </c>
      <c r="I147" s="263"/>
      <c r="J147" s="48"/>
      <c r="K147" s="48"/>
      <c r="L147" s="48"/>
      <c r="M147" s="48"/>
      <c r="N147" s="48"/>
      <c r="O147" s="83"/>
      <c r="P147" s="83"/>
      <c r="Q147" s="80">
        <f t="shared" si="82"/>
        <v>5.9399999999999995</v>
      </c>
      <c r="R147" s="144">
        <v>3.96</v>
      </c>
      <c r="S147" s="144">
        <v>1.98</v>
      </c>
      <c r="T147" s="144"/>
      <c r="U147" s="144"/>
      <c r="V147" s="144"/>
      <c r="W147" s="144"/>
      <c r="X147" s="144"/>
      <c r="Y147" s="83"/>
      <c r="Z147" s="80">
        <f t="shared" si="83"/>
        <v>5.9399999999999995</v>
      </c>
      <c r="AA147" s="144">
        <v>3.96</v>
      </c>
      <c r="AB147" s="144">
        <v>1.98</v>
      </c>
      <c r="AC147" s="144"/>
      <c r="AD147" s="144"/>
      <c r="AE147" s="144"/>
      <c r="AF147" s="144"/>
      <c r="AG147" s="144"/>
      <c r="AH147" s="83"/>
      <c r="AI147" s="80">
        <f aca="true" t="shared" si="84" ref="AI147:AI161">SUM(AJ147:AP147)</f>
        <v>3.96</v>
      </c>
      <c r="AJ147" s="858">
        <v>3.96</v>
      </c>
      <c r="AK147" s="858"/>
      <c r="AL147" s="858"/>
      <c r="AM147" s="858"/>
      <c r="AN147" s="858"/>
      <c r="AO147" s="858"/>
      <c r="AP147" s="858"/>
    </row>
    <row r="148" spans="1:42" s="130" customFormat="1" ht="12" customHeight="1" hidden="1" outlineLevel="1">
      <c r="A148" s="10"/>
      <c r="B148" s="46"/>
      <c r="C148" s="139">
        <f>Z145-C146</f>
        <v>348.7679999999999</v>
      </c>
      <c r="D148" s="96"/>
      <c r="E148" s="121" t="s">
        <v>618</v>
      </c>
      <c r="F148" s="142">
        <v>1</v>
      </c>
      <c r="G148" s="64">
        <v>2.28</v>
      </c>
      <c r="H148" s="143">
        <v>3.96</v>
      </c>
      <c r="I148" s="263"/>
      <c r="J148" s="48"/>
      <c r="K148" s="48"/>
      <c r="L148" s="48"/>
      <c r="M148" s="48"/>
      <c r="N148" s="48"/>
      <c r="O148" s="83"/>
      <c r="P148" s="83"/>
      <c r="Q148" s="80">
        <f t="shared" si="82"/>
        <v>3.96</v>
      </c>
      <c r="R148" s="144">
        <v>3.96</v>
      </c>
      <c r="S148" s="144"/>
      <c r="T148" s="144"/>
      <c r="U148" s="144"/>
      <c r="V148" s="144"/>
      <c r="W148" s="144"/>
      <c r="X148" s="144"/>
      <c r="Y148" s="83"/>
      <c r="Z148" s="80">
        <f t="shared" si="83"/>
        <v>3.96</v>
      </c>
      <c r="AA148" s="144">
        <v>3.96</v>
      </c>
      <c r="AB148" s="144"/>
      <c r="AC148" s="144"/>
      <c r="AD148" s="144"/>
      <c r="AE148" s="144"/>
      <c r="AF148" s="144"/>
      <c r="AG148" s="144"/>
      <c r="AH148" s="83"/>
      <c r="AI148" s="80">
        <f t="shared" si="84"/>
        <v>3.96</v>
      </c>
      <c r="AJ148" s="858">
        <v>3.96</v>
      </c>
      <c r="AK148" s="858"/>
      <c r="AL148" s="858"/>
      <c r="AM148" s="858"/>
      <c r="AN148" s="858"/>
      <c r="AO148" s="858"/>
      <c r="AP148" s="858"/>
    </row>
    <row r="149" spans="1:42" s="130" customFormat="1" ht="12" customHeight="1" hidden="1" outlineLevel="1">
      <c r="A149" s="10"/>
      <c r="B149" s="46"/>
      <c r="C149" s="46"/>
      <c r="D149" s="46"/>
      <c r="E149" s="121" t="s">
        <v>619</v>
      </c>
      <c r="F149" s="142">
        <v>1.5</v>
      </c>
      <c r="G149" s="64">
        <v>2.8</v>
      </c>
      <c r="H149" s="143">
        <v>5.94</v>
      </c>
      <c r="I149" s="263"/>
      <c r="J149" s="48"/>
      <c r="K149" s="48"/>
      <c r="L149" s="48"/>
      <c r="M149" s="48"/>
      <c r="N149" s="48"/>
      <c r="O149" s="83"/>
      <c r="P149" s="83"/>
      <c r="Q149" s="80">
        <f t="shared" si="82"/>
        <v>5.9399999999999995</v>
      </c>
      <c r="R149" s="144">
        <v>3.96</v>
      </c>
      <c r="S149" s="144">
        <v>1.98</v>
      </c>
      <c r="T149" s="144"/>
      <c r="U149" s="144"/>
      <c r="V149" s="144"/>
      <c r="W149" s="144"/>
      <c r="X149" s="144"/>
      <c r="Y149" s="83"/>
      <c r="Z149" s="80">
        <f t="shared" si="83"/>
        <v>5.9399999999999995</v>
      </c>
      <c r="AA149" s="144">
        <v>3.96</v>
      </c>
      <c r="AB149" s="144">
        <v>1.98</v>
      </c>
      <c r="AC149" s="144"/>
      <c r="AD149" s="144"/>
      <c r="AE149" s="144"/>
      <c r="AF149" s="144"/>
      <c r="AG149" s="144"/>
      <c r="AH149" s="83"/>
      <c r="AI149" s="80">
        <f t="shared" si="84"/>
        <v>3.96</v>
      </c>
      <c r="AJ149" s="858">
        <v>3.96</v>
      </c>
      <c r="AK149" s="858"/>
      <c r="AL149" s="858"/>
      <c r="AM149" s="858"/>
      <c r="AN149" s="858"/>
      <c r="AO149" s="858"/>
      <c r="AP149" s="858"/>
    </row>
    <row r="150" spans="1:42" s="130" customFormat="1" ht="12" customHeight="1" hidden="1" outlineLevel="1">
      <c r="A150" s="10"/>
      <c r="B150" s="46"/>
      <c r="C150" s="120"/>
      <c r="D150" s="46"/>
      <c r="E150" s="121" t="s">
        <v>620</v>
      </c>
      <c r="F150" s="142">
        <v>1.5</v>
      </c>
      <c r="G150" s="64">
        <v>2.8</v>
      </c>
      <c r="H150" s="143">
        <v>5.94</v>
      </c>
      <c r="I150" s="263"/>
      <c r="J150" s="48"/>
      <c r="K150" s="48"/>
      <c r="L150" s="48"/>
      <c r="M150" s="48"/>
      <c r="N150" s="48"/>
      <c r="O150" s="83"/>
      <c r="P150" s="83"/>
      <c r="Q150" s="80">
        <f t="shared" si="82"/>
        <v>5.9399999999999995</v>
      </c>
      <c r="R150" s="144">
        <v>3.96</v>
      </c>
      <c r="S150" s="144">
        <v>1.98</v>
      </c>
      <c r="T150" s="144"/>
      <c r="U150" s="144"/>
      <c r="V150" s="144"/>
      <c r="W150" s="144"/>
      <c r="X150" s="144"/>
      <c r="Y150" s="83"/>
      <c r="Z150" s="80">
        <f t="shared" si="83"/>
        <v>5.9399999999999995</v>
      </c>
      <c r="AA150" s="144">
        <v>3.96</v>
      </c>
      <c r="AB150" s="144">
        <v>1.98</v>
      </c>
      <c r="AC150" s="144"/>
      <c r="AD150" s="144"/>
      <c r="AE150" s="144"/>
      <c r="AF150" s="144"/>
      <c r="AG150" s="144"/>
      <c r="AH150" s="83"/>
      <c r="AI150" s="80">
        <f t="shared" si="84"/>
        <v>1.98</v>
      </c>
      <c r="AJ150" s="858">
        <v>1.98</v>
      </c>
      <c r="AK150" s="858"/>
      <c r="AL150" s="858"/>
      <c r="AM150" s="858"/>
      <c r="AN150" s="858"/>
      <c r="AO150" s="858"/>
      <c r="AP150" s="858"/>
    </row>
    <row r="151" spans="1:42" s="130" customFormat="1" ht="12" customHeight="1" hidden="1" outlineLevel="1">
      <c r="A151" s="10"/>
      <c r="B151" s="46"/>
      <c r="C151" s="46"/>
      <c r="D151" s="46"/>
      <c r="E151" s="121" t="s">
        <v>622</v>
      </c>
      <c r="F151" s="142">
        <v>2</v>
      </c>
      <c r="G151" s="64">
        <v>3.3</v>
      </c>
      <c r="H151" s="143">
        <v>12.92</v>
      </c>
      <c r="I151" s="263"/>
      <c r="J151" s="48"/>
      <c r="K151" s="48"/>
      <c r="L151" s="48"/>
      <c r="M151" s="48"/>
      <c r="N151" s="48"/>
      <c r="O151" s="83"/>
      <c r="P151" s="83"/>
      <c r="Q151" s="80">
        <f t="shared" si="82"/>
        <v>12.92</v>
      </c>
      <c r="R151" s="144">
        <v>3.96</v>
      </c>
      <c r="S151" s="144">
        <v>3.96</v>
      </c>
      <c r="T151" s="144"/>
      <c r="U151" s="144"/>
      <c r="V151" s="144"/>
      <c r="W151" s="144"/>
      <c r="X151" s="144">
        <v>5</v>
      </c>
      <c r="Y151" s="83"/>
      <c r="Z151" s="80">
        <f t="shared" si="83"/>
        <v>12.92</v>
      </c>
      <c r="AA151" s="144">
        <v>3.96</v>
      </c>
      <c r="AB151" s="144">
        <v>3.96</v>
      </c>
      <c r="AC151" s="144"/>
      <c r="AD151" s="144"/>
      <c r="AE151" s="144"/>
      <c r="AF151" s="144"/>
      <c r="AG151" s="144">
        <v>5</v>
      </c>
      <c r="AH151" s="83"/>
      <c r="AI151" s="80">
        <f t="shared" si="84"/>
        <v>8.96</v>
      </c>
      <c r="AJ151" s="858">
        <v>3.96</v>
      </c>
      <c r="AK151" s="858"/>
      <c r="AL151" s="858"/>
      <c r="AM151" s="858"/>
      <c r="AN151" s="858"/>
      <c r="AO151" s="858"/>
      <c r="AP151" s="858">
        <v>5</v>
      </c>
    </row>
    <row r="152" spans="1:42" s="130" customFormat="1" ht="12" customHeight="1" hidden="1" outlineLevel="1">
      <c r="A152" s="10"/>
      <c r="B152" s="46"/>
      <c r="C152" s="46"/>
      <c r="D152" s="46"/>
      <c r="E152" s="121" t="s">
        <v>623</v>
      </c>
      <c r="F152" s="142">
        <v>3</v>
      </c>
      <c r="G152" s="64">
        <v>5.6</v>
      </c>
      <c r="H152" s="143">
        <v>16.88</v>
      </c>
      <c r="I152" s="263"/>
      <c r="J152" s="48"/>
      <c r="K152" s="48"/>
      <c r="L152" s="48"/>
      <c r="M152" s="48"/>
      <c r="N152" s="48"/>
      <c r="O152" s="83"/>
      <c r="P152" s="83"/>
      <c r="Q152" s="80">
        <f t="shared" si="82"/>
        <v>16.88</v>
      </c>
      <c r="R152" s="144">
        <v>7.92</v>
      </c>
      <c r="S152" s="144">
        <v>3.96</v>
      </c>
      <c r="T152" s="144"/>
      <c r="U152" s="144"/>
      <c r="V152" s="144"/>
      <c r="W152" s="144"/>
      <c r="X152" s="144">
        <v>5</v>
      </c>
      <c r="Y152" s="83"/>
      <c r="Z152" s="80">
        <f t="shared" si="83"/>
        <v>16.88</v>
      </c>
      <c r="AA152" s="144">
        <v>7.92</v>
      </c>
      <c r="AB152" s="144">
        <v>3.96</v>
      </c>
      <c r="AC152" s="144"/>
      <c r="AD152" s="144"/>
      <c r="AE152" s="144"/>
      <c r="AF152" s="144"/>
      <c r="AG152" s="144">
        <v>5</v>
      </c>
      <c r="AH152" s="83"/>
      <c r="AI152" s="80">
        <f t="shared" si="84"/>
        <v>20.880000000000003</v>
      </c>
      <c r="AJ152" s="858">
        <v>15.88</v>
      </c>
      <c r="AK152" s="858"/>
      <c r="AL152" s="858"/>
      <c r="AM152" s="858"/>
      <c r="AN152" s="858"/>
      <c r="AO152" s="858"/>
      <c r="AP152" s="858">
        <v>5</v>
      </c>
    </row>
    <row r="153" spans="1:42" s="130" customFormat="1" ht="12" customHeight="1" hidden="1" outlineLevel="1">
      <c r="A153" s="10"/>
      <c r="B153" s="46"/>
      <c r="C153" s="46"/>
      <c r="D153" s="46"/>
      <c r="E153" s="121" t="s">
        <v>624</v>
      </c>
      <c r="F153" s="142">
        <v>1.5</v>
      </c>
      <c r="G153" s="64">
        <v>2.16</v>
      </c>
      <c r="H153" s="143">
        <v>85.94</v>
      </c>
      <c r="I153" s="263"/>
      <c r="J153" s="48"/>
      <c r="K153" s="48"/>
      <c r="L153" s="48"/>
      <c r="M153" s="48"/>
      <c r="N153" s="48"/>
      <c r="O153" s="83"/>
      <c r="P153" s="83"/>
      <c r="Q153" s="80">
        <f t="shared" si="82"/>
        <v>85.94</v>
      </c>
      <c r="R153" s="144">
        <v>1.98</v>
      </c>
      <c r="S153" s="144">
        <v>3.96</v>
      </c>
      <c r="T153" s="144">
        <v>55</v>
      </c>
      <c r="U153" s="144">
        <v>20</v>
      </c>
      <c r="V153" s="144"/>
      <c r="W153" s="144"/>
      <c r="X153" s="144">
        <v>5</v>
      </c>
      <c r="Y153" s="83"/>
      <c r="Z153" s="80">
        <f t="shared" si="83"/>
        <v>85.94</v>
      </c>
      <c r="AA153" s="144">
        <v>1.98</v>
      </c>
      <c r="AB153" s="144">
        <v>3.96</v>
      </c>
      <c r="AC153" s="144">
        <v>55</v>
      </c>
      <c r="AD153" s="144">
        <v>20</v>
      </c>
      <c r="AE153" s="144"/>
      <c r="AF153" s="144"/>
      <c r="AG153" s="144">
        <v>5</v>
      </c>
      <c r="AH153" s="83"/>
      <c r="AI153" s="80">
        <f t="shared" si="84"/>
        <v>52.72</v>
      </c>
      <c r="AJ153" s="858">
        <v>27.72</v>
      </c>
      <c r="AK153" s="858"/>
      <c r="AL153" s="858"/>
      <c r="AM153" s="858">
        <v>20</v>
      </c>
      <c r="AN153" s="858"/>
      <c r="AO153" s="858"/>
      <c r="AP153" s="858">
        <v>5</v>
      </c>
    </row>
    <row r="154" spans="1:42" s="130" customFormat="1" ht="12" customHeight="1" hidden="1" outlineLevel="1">
      <c r="A154" s="10"/>
      <c r="B154" s="46"/>
      <c r="C154" s="46"/>
      <c r="D154" s="46"/>
      <c r="E154" s="121" t="s">
        <v>625</v>
      </c>
      <c r="F154" s="142">
        <v>1.5</v>
      </c>
      <c r="G154" s="64">
        <v>2.16</v>
      </c>
      <c r="H154" s="143">
        <v>5.94</v>
      </c>
      <c r="I154" s="263"/>
      <c r="J154" s="40"/>
      <c r="K154" s="48"/>
      <c r="L154" s="48"/>
      <c r="M154" s="48"/>
      <c r="N154" s="48"/>
      <c r="O154" s="83"/>
      <c r="P154" s="83"/>
      <c r="Q154" s="80">
        <f t="shared" si="82"/>
        <v>5.9399999999999995</v>
      </c>
      <c r="R154" s="144">
        <v>1.98</v>
      </c>
      <c r="S154" s="144">
        <v>3.96</v>
      </c>
      <c r="T154" s="144"/>
      <c r="U154" s="144"/>
      <c r="V154" s="144"/>
      <c r="W154" s="144"/>
      <c r="X154" s="144"/>
      <c r="Y154" s="83"/>
      <c r="Z154" s="80">
        <f t="shared" si="83"/>
        <v>5.9399999999999995</v>
      </c>
      <c r="AA154" s="144">
        <v>1.98</v>
      </c>
      <c r="AB154" s="144">
        <v>3.96</v>
      </c>
      <c r="AC154" s="144"/>
      <c r="AD154" s="144"/>
      <c r="AE154" s="144"/>
      <c r="AF154" s="144"/>
      <c r="AG154" s="144"/>
      <c r="AH154" s="83"/>
      <c r="AI154" s="80">
        <f t="shared" si="84"/>
        <v>20.28</v>
      </c>
      <c r="AJ154" s="858">
        <v>20.28</v>
      </c>
      <c r="AK154" s="858"/>
      <c r="AL154" s="858"/>
      <c r="AM154" s="858"/>
      <c r="AN154" s="858"/>
      <c r="AO154" s="858"/>
      <c r="AP154" s="858"/>
    </row>
    <row r="155" spans="1:42" s="130" customFormat="1" ht="12" customHeight="1" hidden="1" outlineLevel="1">
      <c r="A155" s="10"/>
      <c r="B155" s="46"/>
      <c r="C155" s="46"/>
      <c r="D155" s="46"/>
      <c r="E155" s="121" t="s">
        <v>626</v>
      </c>
      <c r="F155" s="142">
        <v>3</v>
      </c>
      <c r="G155" s="64">
        <v>4.31</v>
      </c>
      <c r="H155" s="143">
        <v>201.88</v>
      </c>
      <c r="I155" s="263"/>
      <c r="J155" s="40"/>
      <c r="K155" s="48"/>
      <c r="L155" s="48"/>
      <c r="M155" s="48"/>
      <c r="N155" s="48"/>
      <c r="O155" s="83"/>
      <c r="P155" s="83"/>
      <c r="Q155" s="80">
        <f t="shared" si="82"/>
        <v>201.88</v>
      </c>
      <c r="R155" s="144">
        <v>3.96</v>
      </c>
      <c r="S155" s="144">
        <v>7.92</v>
      </c>
      <c r="T155" s="144">
        <v>50</v>
      </c>
      <c r="U155" s="144">
        <v>100</v>
      </c>
      <c r="V155" s="144">
        <v>30</v>
      </c>
      <c r="W155" s="144"/>
      <c r="X155" s="144">
        <v>10</v>
      </c>
      <c r="Y155" s="83"/>
      <c r="Z155" s="80">
        <f t="shared" si="83"/>
        <v>201.88</v>
      </c>
      <c r="AA155" s="144">
        <v>3.96</v>
      </c>
      <c r="AB155" s="144">
        <v>7.92</v>
      </c>
      <c r="AC155" s="144">
        <v>50</v>
      </c>
      <c r="AD155" s="144">
        <v>100</v>
      </c>
      <c r="AE155" s="144">
        <v>30</v>
      </c>
      <c r="AF155" s="144"/>
      <c r="AG155" s="144">
        <v>10</v>
      </c>
      <c r="AH155" s="83"/>
      <c r="AI155" s="80">
        <f t="shared" si="84"/>
        <v>240</v>
      </c>
      <c r="AJ155" s="858">
        <v>80</v>
      </c>
      <c r="AK155" s="858"/>
      <c r="AL155" s="858">
        <v>50</v>
      </c>
      <c r="AM155" s="858">
        <v>100</v>
      </c>
      <c r="AN155" s="858"/>
      <c r="AO155" s="858"/>
      <c r="AP155" s="858">
        <v>10</v>
      </c>
    </row>
    <row r="156" spans="1:42" s="130" customFormat="1" ht="12" customHeight="1" hidden="1" outlineLevel="1">
      <c r="A156" s="10"/>
      <c r="B156" s="46"/>
      <c r="C156" s="46"/>
      <c r="D156" s="46"/>
      <c r="E156" s="121" t="s">
        <v>627</v>
      </c>
      <c r="F156" s="142">
        <v>3</v>
      </c>
      <c r="G156" s="64">
        <v>4.31</v>
      </c>
      <c r="H156" s="143">
        <v>256.88</v>
      </c>
      <c r="I156" s="263"/>
      <c r="J156" s="48"/>
      <c r="K156" s="48"/>
      <c r="L156" s="48"/>
      <c r="M156" s="48"/>
      <c r="N156" s="48"/>
      <c r="O156" s="83"/>
      <c r="P156" s="83"/>
      <c r="Q156" s="80">
        <f t="shared" si="82"/>
        <v>256.88</v>
      </c>
      <c r="R156" s="144">
        <v>3.96</v>
      </c>
      <c r="S156" s="144">
        <v>7.92</v>
      </c>
      <c r="T156" s="144">
        <v>55</v>
      </c>
      <c r="U156" s="144">
        <v>30</v>
      </c>
      <c r="V156" s="144">
        <v>50</v>
      </c>
      <c r="W156" s="144">
        <v>100</v>
      </c>
      <c r="X156" s="144">
        <v>10</v>
      </c>
      <c r="Y156" s="83"/>
      <c r="Z156" s="80">
        <f t="shared" si="83"/>
        <v>256.88</v>
      </c>
      <c r="AA156" s="144">
        <v>3.96</v>
      </c>
      <c r="AB156" s="144">
        <v>7.92</v>
      </c>
      <c r="AC156" s="144">
        <v>55</v>
      </c>
      <c r="AD156" s="144">
        <v>30</v>
      </c>
      <c r="AE156" s="144">
        <v>50</v>
      </c>
      <c r="AF156" s="144">
        <v>100</v>
      </c>
      <c r="AG156" s="144">
        <v>10</v>
      </c>
      <c r="AH156" s="83"/>
      <c r="AI156" s="80">
        <f t="shared" si="84"/>
        <v>225.2</v>
      </c>
      <c r="AJ156" s="858">
        <v>100</v>
      </c>
      <c r="AK156" s="858"/>
      <c r="AL156" s="858">
        <v>55</v>
      </c>
      <c r="AM156" s="858">
        <v>30</v>
      </c>
      <c r="AN156" s="858">
        <v>20</v>
      </c>
      <c r="AO156" s="858">
        <v>10</v>
      </c>
      <c r="AP156" s="858">
        <v>10.2</v>
      </c>
    </row>
    <row r="157" spans="1:42" s="130" customFormat="1" ht="12" customHeight="1" hidden="1" outlineLevel="1">
      <c r="A157" s="10"/>
      <c r="B157" s="46"/>
      <c r="C157" s="46"/>
      <c r="D157" s="46"/>
      <c r="E157" s="121" t="s">
        <v>628</v>
      </c>
      <c r="F157" s="142">
        <v>5</v>
      </c>
      <c r="G157" s="64">
        <v>10.2</v>
      </c>
      <c r="H157" s="143">
        <v>19.8</v>
      </c>
      <c r="I157" s="263"/>
      <c r="J157" s="40"/>
      <c r="K157" s="48"/>
      <c r="L157" s="48"/>
      <c r="M157" s="48"/>
      <c r="N157" s="48"/>
      <c r="O157" s="83"/>
      <c r="P157" s="83"/>
      <c r="Q157" s="80">
        <f t="shared" si="82"/>
        <v>19.8</v>
      </c>
      <c r="R157" s="144">
        <v>15.84</v>
      </c>
      <c r="S157" s="144">
        <v>3.96</v>
      </c>
      <c r="T157" s="144"/>
      <c r="U157" s="144"/>
      <c r="V157" s="144"/>
      <c r="W157" s="144"/>
      <c r="X157" s="144"/>
      <c r="Y157" s="83"/>
      <c r="Z157" s="80">
        <f t="shared" si="83"/>
        <v>19.8</v>
      </c>
      <c r="AA157" s="144">
        <v>15.84</v>
      </c>
      <c r="AB157" s="144">
        <v>3.96</v>
      </c>
      <c r="AC157" s="144"/>
      <c r="AD157" s="144"/>
      <c r="AE157" s="144"/>
      <c r="AF157" s="144"/>
      <c r="AG157" s="144"/>
      <c r="AH157" s="83"/>
      <c r="AI157" s="80">
        <f t="shared" si="84"/>
        <v>134</v>
      </c>
      <c r="AJ157" s="858">
        <v>109</v>
      </c>
      <c r="AK157" s="858"/>
      <c r="AL157" s="858"/>
      <c r="AM157" s="858">
        <v>25</v>
      </c>
      <c r="AN157" s="858"/>
      <c r="AO157" s="858"/>
      <c r="AP157" s="858"/>
    </row>
    <row r="158" spans="1:42" s="130" customFormat="1" ht="12" customHeight="1" hidden="1" outlineLevel="1">
      <c r="A158" s="10"/>
      <c r="B158" s="46"/>
      <c r="C158" s="46"/>
      <c r="D158" s="46"/>
      <c r="E158" s="121" t="s">
        <v>629</v>
      </c>
      <c r="F158" s="142">
        <v>4.5</v>
      </c>
      <c r="G158" s="64">
        <v>9.7</v>
      </c>
      <c r="H158" s="143">
        <v>17.82</v>
      </c>
      <c r="I158" s="263"/>
      <c r="J158" s="40"/>
      <c r="K158" s="48"/>
      <c r="L158" s="48"/>
      <c r="M158" s="48"/>
      <c r="N158" s="48"/>
      <c r="O158" s="83"/>
      <c r="P158" s="83"/>
      <c r="Q158" s="80">
        <f t="shared" si="82"/>
        <v>17.82</v>
      </c>
      <c r="R158" s="144">
        <v>15.84</v>
      </c>
      <c r="S158" s="144">
        <v>1.98</v>
      </c>
      <c r="T158" s="144"/>
      <c r="U158" s="144"/>
      <c r="V158" s="144"/>
      <c r="W158" s="144"/>
      <c r="X158" s="144"/>
      <c r="Y158" s="83"/>
      <c r="Z158" s="80">
        <f t="shared" si="83"/>
        <v>17.82</v>
      </c>
      <c r="AA158" s="144">
        <v>15.84</v>
      </c>
      <c r="AB158" s="144">
        <v>1.98</v>
      </c>
      <c r="AC158" s="144"/>
      <c r="AD158" s="144"/>
      <c r="AE158" s="144"/>
      <c r="AF158" s="144"/>
      <c r="AG158" s="144"/>
      <c r="AH158" s="83"/>
      <c r="AI158" s="80">
        <f t="shared" si="84"/>
        <v>50</v>
      </c>
      <c r="AJ158" s="858">
        <v>50</v>
      </c>
      <c r="AK158" s="858"/>
      <c r="AL158" s="858"/>
      <c r="AM158" s="858"/>
      <c r="AN158" s="858"/>
      <c r="AO158" s="858"/>
      <c r="AP158" s="858"/>
    </row>
    <row r="159" spans="1:42" s="130" customFormat="1" ht="12" customHeight="1" hidden="1" outlineLevel="1">
      <c r="A159" s="10"/>
      <c r="B159" s="46"/>
      <c r="C159" s="46"/>
      <c r="D159" s="46"/>
      <c r="E159" s="121" t="s">
        <v>630</v>
      </c>
      <c r="F159" s="142">
        <v>8</v>
      </c>
      <c r="G159" s="64">
        <v>18.4</v>
      </c>
      <c r="H159" s="143">
        <v>106.68</v>
      </c>
      <c r="I159" s="263"/>
      <c r="J159" s="40"/>
      <c r="K159" s="48"/>
      <c r="L159" s="48"/>
      <c r="M159" s="48"/>
      <c r="N159" s="48"/>
      <c r="O159" s="83"/>
      <c r="P159" s="83"/>
      <c r="Q159" s="80">
        <f t="shared" si="82"/>
        <v>106.68</v>
      </c>
      <c r="R159" s="144">
        <v>31.68</v>
      </c>
      <c r="S159" s="144"/>
      <c r="T159" s="144">
        <v>50</v>
      </c>
      <c r="U159" s="144">
        <v>20</v>
      </c>
      <c r="V159" s="144"/>
      <c r="W159" s="144"/>
      <c r="X159" s="144">
        <v>5</v>
      </c>
      <c r="Y159" s="83"/>
      <c r="Z159" s="80">
        <f t="shared" si="83"/>
        <v>106.68</v>
      </c>
      <c r="AA159" s="144">
        <v>31.68</v>
      </c>
      <c r="AB159" s="144"/>
      <c r="AC159" s="144">
        <v>50</v>
      </c>
      <c r="AD159" s="144">
        <v>20</v>
      </c>
      <c r="AE159" s="144"/>
      <c r="AF159" s="144"/>
      <c r="AG159" s="144">
        <v>5</v>
      </c>
      <c r="AH159" s="83"/>
      <c r="AI159" s="80">
        <f t="shared" si="84"/>
        <v>55</v>
      </c>
      <c r="AJ159" s="858">
        <v>50</v>
      </c>
      <c r="AK159" s="858"/>
      <c r="AL159" s="858"/>
      <c r="AM159" s="858"/>
      <c r="AN159" s="858"/>
      <c r="AO159" s="858"/>
      <c r="AP159" s="858">
        <v>5</v>
      </c>
    </row>
    <row r="160" spans="1:42" s="130" customFormat="1" ht="12" customHeight="1" hidden="1" outlineLevel="1">
      <c r="A160" s="10"/>
      <c r="B160" s="46"/>
      <c r="C160" s="46"/>
      <c r="D160" s="46"/>
      <c r="E160" s="121" t="s">
        <v>631</v>
      </c>
      <c r="F160" s="142">
        <v>4</v>
      </c>
      <c r="G160" s="64">
        <v>8.37</v>
      </c>
      <c r="H160" s="143">
        <v>162.84</v>
      </c>
      <c r="I160" s="263"/>
      <c r="J160" s="40"/>
      <c r="K160" s="48"/>
      <c r="L160" s="48"/>
      <c r="M160" s="48"/>
      <c r="N160" s="48"/>
      <c r="O160" s="83"/>
      <c r="P160" s="83"/>
      <c r="Q160" s="80">
        <f t="shared" si="82"/>
        <v>162.84</v>
      </c>
      <c r="R160" s="144">
        <v>7.92</v>
      </c>
      <c r="S160" s="144">
        <v>7.92</v>
      </c>
      <c r="T160" s="144">
        <v>50</v>
      </c>
      <c r="U160" s="144">
        <v>50</v>
      </c>
      <c r="V160" s="144">
        <v>42</v>
      </c>
      <c r="W160" s="144"/>
      <c r="X160" s="144">
        <v>5</v>
      </c>
      <c r="Y160" s="83"/>
      <c r="Z160" s="80">
        <f t="shared" si="83"/>
        <v>162.84</v>
      </c>
      <c r="AA160" s="144">
        <v>7.92</v>
      </c>
      <c r="AB160" s="144">
        <v>7.92</v>
      </c>
      <c r="AC160" s="144">
        <v>50</v>
      </c>
      <c r="AD160" s="144">
        <v>50</v>
      </c>
      <c r="AE160" s="144">
        <v>42</v>
      </c>
      <c r="AF160" s="144"/>
      <c r="AG160" s="144">
        <v>5</v>
      </c>
      <c r="AH160" s="83"/>
      <c r="AI160" s="80">
        <f t="shared" si="84"/>
        <v>55</v>
      </c>
      <c r="AJ160" s="858">
        <v>50</v>
      </c>
      <c r="AK160" s="858"/>
      <c r="AL160" s="858"/>
      <c r="AM160" s="858"/>
      <c r="AN160" s="858"/>
      <c r="AO160" s="858"/>
      <c r="AP160" s="858">
        <v>5</v>
      </c>
    </row>
    <row r="161" spans="1:42" s="130" customFormat="1" ht="12" customHeight="1" hidden="1" outlineLevel="1">
      <c r="A161" s="10"/>
      <c r="B161" s="46"/>
      <c r="C161" s="46"/>
      <c r="D161" s="46"/>
      <c r="E161" s="121" t="s">
        <v>632</v>
      </c>
      <c r="F161" s="142">
        <v>4</v>
      </c>
      <c r="G161" s="64">
        <v>9.2</v>
      </c>
      <c r="H161" s="143">
        <v>15.84</v>
      </c>
      <c r="I161" s="263"/>
      <c r="J161" s="40"/>
      <c r="K161" s="48"/>
      <c r="L161" s="48"/>
      <c r="M161" s="48"/>
      <c r="N161" s="48"/>
      <c r="O161" s="83"/>
      <c r="P161" s="83"/>
      <c r="Q161" s="80">
        <f t="shared" si="82"/>
        <v>15.84</v>
      </c>
      <c r="R161" s="144">
        <v>15.84</v>
      </c>
      <c r="S161" s="144"/>
      <c r="T161" s="144"/>
      <c r="U161" s="144"/>
      <c r="V161" s="144"/>
      <c r="W161" s="144"/>
      <c r="X161" s="144"/>
      <c r="Y161" s="83"/>
      <c r="Z161" s="80">
        <f t="shared" si="83"/>
        <v>15.84</v>
      </c>
      <c r="AA161" s="144">
        <v>15.84</v>
      </c>
      <c r="AB161" s="144"/>
      <c r="AC161" s="144"/>
      <c r="AD161" s="144"/>
      <c r="AE161" s="144"/>
      <c r="AF161" s="144"/>
      <c r="AG161" s="144"/>
      <c r="AH161" s="83"/>
      <c r="AI161" s="80">
        <f t="shared" si="84"/>
        <v>26</v>
      </c>
      <c r="AJ161" s="858">
        <v>26</v>
      </c>
      <c r="AK161" s="858"/>
      <c r="AL161" s="858"/>
      <c r="AM161" s="858"/>
      <c r="AN161" s="858"/>
      <c r="AO161" s="858"/>
      <c r="AP161" s="858"/>
    </row>
    <row r="162" spans="1:43" s="130" customFormat="1" ht="12" customHeight="1" hidden="1" outlineLevel="1">
      <c r="A162" s="10"/>
      <c r="B162" s="46"/>
      <c r="C162" s="46"/>
      <c r="D162" s="46"/>
      <c r="E162" s="121" t="s">
        <v>633</v>
      </c>
      <c r="F162" s="142">
        <v>8</v>
      </c>
      <c r="G162" s="64">
        <v>13.2</v>
      </c>
      <c r="H162" s="143">
        <v>31.68</v>
      </c>
      <c r="I162" s="263"/>
      <c r="J162" s="40"/>
      <c r="K162" s="48"/>
      <c r="L162" s="48"/>
      <c r="M162" s="48"/>
      <c r="N162" s="48"/>
      <c r="O162" s="83"/>
      <c r="P162" s="83"/>
      <c r="Q162" s="80">
        <f t="shared" si="82"/>
        <v>31.68</v>
      </c>
      <c r="R162" s="144">
        <v>15.84</v>
      </c>
      <c r="S162" s="144">
        <v>15.84</v>
      </c>
      <c r="T162" s="144"/>
      <c r="U162" s="144"/>
      <c r="V162" s="144"/>
      <c r="W162" s="144"/>
      <c r="X162" s="144"/>
      <c r="Y162" s="83"/>
      <c r="Z162" s="80">
        <f t="shared" si="83"/>
        <v>31.68</v>
      </c>
      <c r="AA162" s="144">
        <v>15.84</v>
      </c>
      <c r="AB162" s="144">
        <v>15.84</v>
      </c>
      <c r="AC162" s="144"/>
      <c r="AD162" s="144"/>
      <c r="AE162" s="144"/>
      <c r="AF162" s="144"/>
      <c r="AG162" s="144"/>
      <c r="AH162" s="83"/>
      <c r="AI162" s="80">
        <f>SUM(AJ162:AQ162)</f>
        <v>54.980000000000004</v>
      </c>
      <c r="AJ162" s="858">
        <v>25</v>
      </c>
      <c r="AK162" s="858"/>
      <c r="AL162" s="858"/>
      <c r="AM162" s="858"/>
      <c r="AN162" s="858"/>
      <c r="AO162" s="858"/>
      <c r="AP162" s="858"/>
      <c r="AQ162" s="680">
        <v>29.98</v>
      </c>
    </row>
    <row r="163" spans="1:34" s="129" customFormat="1" ht="12" customHeight="1" hidden="1" outlineLevel="1">
      <c r="A163" s="98"/>
      <c r="B163" s="46"/>
      <c r="C163" s="46"/>
      <c r="D163" s="46"/>
      <c r="E163" s="81" t="s">
        <v>471</v>
      </c>
      <c r="F163" s="126"/>
      <c r="G163" s="81"/>
      <c r="H163" s="99">
        <f>H145/$H$145</f>
        <v>1</v>
      </c>
      <c r="I163" s="261">
        <f aca="true" t="shared" si="85" ref="I163:P163">I145/$H$145</f>
        <v>0.18284360950545922</v>
      </c>
      <c r="J163" s="99">
        <f t="shared" si="85"/>
        <v>0.06753773281952473</v>
      </c>
      <c r="K163" s="99">
        <f t="shared" si="85"/>
        <v>0.26091843288375083</v>
      </c>
      <c r="L163" s="99">
        <f t="shared" si="85"/>
        <v>0.22077713551701994</v>
      </c>
      <c r="M163" s="99">
        <f t="shared" si="85"/>
        <v>0.12243095696852924</v>
      </c>
      <c r="N163" s="99">
        <f t="shared" si="85"/>
        <v>0.10035324341682725</v>
      </c>
      <c r="O163" s="99">
        <f t="shared" si="85"/>
        <v>0.045158959537572256</v>
      </c>
      <c r="P163" s="99">
        <f t="shared" si="85"/>
        <v>0</v>
      </c>
      <c r="Q163" s="99">
        <f>Q145/$Q$145</f>
        <v>1</v>
      </c>
      <c r="R163" s="99">
        <f aca="true" t="shared" si="86" ref="R163:Y163">R145/$Q$145</f>
        <v>0.1828034682080925</v>
      </c>
      <c r="S163" s="99">
        <f t="shared" si="86"/>
        <v>0.06755780346820811</v>
      </c>
      <c r="T163" s="99">
        <f t="shared" si="86"/>
        <v>0.26091843288375083</v>
      </c>
      <c r="U163" s="99">
        <f t="shared" si="86"/>
        <v>0.22077713551701994</v>
      </c>
      <c r="V163" s="99">
        <f t="shared" si="86"/>
        <v>0.12243095696852924</v>
      </c>
      <c r="W163" s="99">
        <f t="shared" si="86"/>
        <v>0.10035324341682725</v>
      </c>
      <c r="X163" s="99">
        <f t="shared" si="86"/>
        <v>0.045158959537572256</v>
      </c>
      <c r="Y163" s="99">
        <f t="shared" si="86"/>
        <v>0</v>
      </c>
      <c r="Z163" s="99">
        <f>Z145/$Q$145</f>
        <v>1</v>
      </c>
      <c r="AA163" s="99">
        <f aca="true" t="shared" si="87" ref="AA163:AH163">AA145/$Q$145</f>
        <v>0.1828034682080925</v>
      </c>
      <c r="AB163" s="99">
        <f t="shared" si="87"/>
        <v>0.06755780346820811</v>
      </c>
      <c r="AC163" s="99">
        <f t="shared" si="87"/>
        <v>0.26091843288375083</v>
      </c>
      <c r="AD163" s="99">
        <f t="shared" si="87"/>
        <v>0.22077713551701994</v>
      </c>
      <c r="AE163" s="99">
        <f t="shared" si="87"/>
        <v>0.12243095696852924</v>
      </c>
      <c r="AF163" s="99">
        <f t="shared" si="87"/>
        <v>0.10035324341682725</v>
      </c>
      <c r="AG163" s="99">
        <f t="shared" si="87"/>
        <v>0.045158959537572256</v>
      </c>
      <c r="AH163" s="99">
        <f t="shared" si="87"/>
        <v>0</v>
      </c>
    </row>
    <row r="164" spans="1:34" s="129" customFormat="1" ht="12" customHeight="1" hidden="1" outlineLevel="1">
      <c r="A164" s="98"/>
      <c r="B164" s="46"/>
      <c r="C164" s="46"/>
      <c r="D164" s="46"/>
      <c r="E164" s="81" t="s">
        <v>472</v>
      </c>
      <c r="F164" s="126"/>
      <c r="G164" s="81"/>
      <c r="H164" s="99"/>
      <c r="I164" s="261"/>
      <c r="J164" s="99"/>
      <c r="K164" s="99"/>
      <c r="L164" s="99"/>
      <c r="M164" s="99"/>
      <c r="N164" s="99"/>
      <c r="O164" s="99"/>
      <c r="P164" s="99"/>
      <c r="Q164" s="65">
        <f>Q145-H145</f>
        <v>0</v>
      </c>
      <c r="R164" s="65">
        <f aca="true" t="shared" si="88" ref="R164:Y164">R145-I145</f>
        <v>-0.03999999999999204</v>
      </c>
      <c r="S164" s="65">
        <f t="shared" si="88"/>
        <v>0.020000000000010232</v>
      </c>
      <c r="T164" s="65">
        <f t="shared" si="88"/>
        <v>0</v>
      </c>
      <c r="U164" s="65">
        <f t="shared" si="88"/>
        <v>0</v>
      </c>
      <c r="V164" s="65">
        <f t="shared" si="88"/>
        <v>0</v>
      </c>
      <c r="W164" s="65">
        <f t="shared" si="88"/>
        <v>0</v>
      </c>
      <c r="X164" s="65">
        <f t="shared" si="88"/>
        <v>0</v>
      </c>
      <c r="Y164" s="65">
        <f t="shared" si="88"/>
        <v>0</v>
      </c>
      <c r="Z164" s="65">
        <f aca="true" t="shared" si="89" ref="Z164:AH164">Z145-Q145</f>
        <v>0</v>
      </c>
      <c r="AA164" s="65">
        <f t="shared" si="89"/>
        <v>0</v>
      </c>
      <c r="AB164" s="65">
        <f t="shared" si="89"/>
        <v>0</v>
      </c>
      <c r="AC164" s="65">
        <f t="shared" si="89"/>
        <v>0</v>
      </c>
      <c r="AD164" s="65">
        <f t="shared" si="89"/>
        <v>0</v>
      </c>
      <c r="AE164" s="65">
        <f t="shared" si="89"/>
        <v>0</v>
      </c>
      <c r="AF164" s="65">
        <f t="shared" si="89"/>
        <v>0</v>
      </c>
      <c r="AG164" s="65">
        <f t="shared" si="89"/>
        <v>0</v>
      </c>
      <c r="AH164" s="65">
        <f t="shared" si="89"/>
        <v>0</v>
      </c>
    </row>
    <row r="165" spans="1:34" s="130" customFormat="1" ht="12" customHeight="1" hidden="1" outlineLevel="1">
      <c r="A165" s="10"/>
      <c r="B165" s="46"/>
      <c r="C165" s="46"/>
      <c r="D165" s="46"/>
      <c r="E165" s="43" t="s">
        <v>473</v>
      </c>
      <c r="F165" s="44"/>
      <c r="G165" s="43"/>
      <c r="H165" s="49"/>
      <c r="I165" s="262"/>
      <c r="J165" s="49"/>
      <c r="K165" s="49"/>
      <c r="L165" s="49"/>
      <c r="M165" s="49"/>
      <c r="N165" s="49"/>
      <c r="O165" s="49"/>
      <c r="P165" s="49"/>
      <c r="Q165" s="49"/>
      <c r="R165" s="49"/>
      <c r="S165" s="84"/>
      <c r="T165" s="49"/>
      <c r="U165" s="49"/>
      <c r="V165" s="49"/>
      <c r="W165" s="49"/>
      <c r="X165" s="49"/>
      <c r="Y165" s="49"/>
      <c r="Z165" s="90"/>
      <c r="AA165" s="90"/>
      <c r="AB165" s="90"/>
      <c r="AC165" s="90"/>
      <c r="AD165" s="90"/>
      <c r="AE165" s="90"/>
      <c r="AF165" s="90"/>
      <c r="AG165" s="90"/>
      <c r="AH165" s="90"/>
    </row>
    <row r="166" spans="1:34" s="320" customFormat="1" ht="12" customHeight="1" collapsed="1">
      <c r="A166" s="312">
        <v>21</v>
      </c>
      <c r="B166" s="313" t="s">
        <v>482</v>
      </c>
      <c r="C166" s="313" t="s">
        <v>768</v>
      </c>
      <c r="D166" s="313"/>
      <c r="E166" s="314"/>
      <c r="F166" s="315">
        <f>SUM(F167:F177)</f>
        <v>66.2</v>
      </c>
      <c r="G166" s="315">
        <f>SUM(G167:G177)</f>
        <v>66.2</v>
      </c>
      <c r="H166" s="316">
        <f>SUM(H167:H177)</f>
        <v>1780.5000000000002</v>
      </c>
      <c r="I166" s="317">
        <f>SUM(I167:I177)</f>
        <v>0</v>
      </c>
      <c r="J166" s="318">
        <f aca="true" t="shared" si="90" ref="J166:P166">SUM(J167:J177)</f>
        <v>354.9400000000001</v>
      </c>
      <c r="K166" s="318">
        <f t="shared" si="90"/>
        <v>0</v>
      </c>
      <c r="L166" s="318">
        <f t="shared" si="90"/>
        <v>302.03</v>
      </c>
      <c r="M166" s="318">
        <f t="shared" si="90"/>
        <v>182</v>
      </c>
      <c r="N166" s="318">
        <f t="shared" si="90"/>
        <v>941.53</v>
      </c>
      <c r="O166" s="318">
        <f t="shared" si="90"/>
        <v>0</v>
      </c>
      <c r="P166" s="318">
        <f t="shared" si="90"/>
        <v>0</v>
      </c>
      <c r="Q166" s="316">
        <f aca="true" t="shared" si="91" ref="Q166:AH166">SUM(Q167:Q177)</f>
        <v>1780.5000000000002</v>
      </c>
      <c r="R166" s="316">
        <f t="shared" si="91"/>
        <v>0</v>
      </c>
      <c r="S166" s="316">
        <f t="shared" si="91"/>
        <v>354.9400000000001</v>
      </c>
      <c r="T166" s="316">
        <f t="shared" si="91"/>
        <v>0</v>
      </c>
      <c r="U166" s="316">
        <f t="shared" si="91"/>
        <v>302.03</v>
      </c>
      <c r="V166" s="316">
        <f t="shared" si="91"/>
        <v>182</v>
      </c>
      <c r="W166" s="316">
        <f t="shared" si="91"/>
        <v>941.53</v>
      </c>
      <c r="X166" s="316">
        <f t="shared" si="91"/>
        <v>0</v>
      </c>
      <c r="Y166" s="316">
        <f t="shared" si="91"/>
        <v>0</v>
      </c>
      <c r="Z166" s="316">
        <f t="shared" si="91"/>
        <v>1495.92</v>
      </c>
      <c r="AA166" s="319">
        <f t="shared" si="91"/>
        <v>0</v>
      </c>
      <c r="AB166" s="319">
        <f t="shared" si="91"/>
        <v>354.9400000000001</v>
      </c>
      <c r="AC166" s="319">
        <f t="shared" si="91"/>
        <v>0</v>
      </c>
      <c r="AD166" s="319">
        <f t="shared" si="91"/>
        <v>302.03</v>
      </c>
      <c r="AE166" s="319">
        <f t="shared" si="91"/>
        <v>182</v>
      </c>
      <c r="AF166" s="319">
        <f t="shared" si="91"/>
        <v>591.95</v>
      </c>
      <c r="AG166" s="319">
        <f t="shared" si="91"/>
        <v>65</v>
      </c>
      <c r="AH166" s="319">
        <f t="shared" si="91"/>
        <v>21.56</v>
      </c>
    </row>
    <row r="167" spans="1:34" s="233" customFormat="1" ht="12" customHeight="1" hidden="1" outlineLevel="1">
      <c r="A167" s="10"/>
      <c r="B167" s="46"/>
      <c r="C167" s="145" t="s">
        <v>60</v>
      </c>
      <c r="D167" s="46"/>
      <c r="E167" s="121">
        <v>1</v>
      </c>
      <c r="F167" s="148">
        <v>37.3</v>
      </c>
      <c r="G167" s="155">
        <f>F167</f>
        <v>37.3</v>
      </c>
      <c r="H167" s="234">
        <f>SUM(I167:O167)</f>
        <v>1076.18</v>
      </c>
      <c r="I167" s="260"/>
      <c r="J167" s="229">
        <v>201.6</v>
      </c>
      <c r="K167" s="229"/>
      <c r="L167" s="229">
        <v>63</v>
      </c>
      <c r="M167" s="229">
        <v>112</v>
      </c>
      <c r="N167" s="229">
        <v>699.58</v>
      </c>
      <c r="O167" s="229"/>
      <c r="P167" s="83"/>
      <c r="Q167" s="112">
        <f>SUM(R167:Y167)</f>
        <v>1076.18</v>
      </c>
      <c r="R167" s="174"/>
      <c r="S167" s="229">
        <v>201.6</v>
      </c>
      <c r="T167" s="229"/>
      <c r="U167" s="229">
        <v>63</v>
      </c>
      <c r="V167" s="229">
        <v>112</v>
      </c>
      <c r="W167" s="229">
        <v>699.58</v>
      </c>
      <c r="X167" s="229"/>
      <c r="Y167" s="109"/>
      <c r="Z167" s="231">
        <f>SUM(AA167:AG167)</f>
        <v>736.6</v>
      </c>
      <c r="AA167" s="174"/>
      <c r="AB167" s="229">
        <v>201.6</v>
      </c>
      <c r="AC167" s="229"/>
      <c r="AD167" s="229">
        <v>63</v>
      </c>
      <c r="AE167" s="229">
        <v>112</v>
      </c>
      <c r="AF167" s="230">
        <v>350</v>
      </c>
      <c r="AG167" s="230">
        <v>10</v>
      </c>
      <c r="AH167" s="109"/>
    </row>
    <row r="168" spans="1:34" s="233" customFormat="1" ht="12" customHeight="1" hidden="1" outlineLevel="1">
      <c r="A168" s="10"/>
      <c r="B168" s="46"/>
      <c r="C168" s="145" t="s">
        <v>61</v>
      </c>
      <c r="D168" s="46"/>
      <c r="E168" s="81">
        <v>2</v>
      </c>
      <c r="F168" s="148">
        <v>12</v>
      </c>
      <c r="G168" s="155">
        <f aca="true" t="shared" si="92" ref="G168:G177">F168</f>
        <v>12</v>
      </c>
      <c r="H168" s="234">
        <f aca="true" t="shared" si="93" ref="H168:H177">SUM(I168:O168)</f>
        <v>438.92999999999995</v>
      </c>
      <c r="I168" s="260"/>
      <c r="J168" s="229">
        <v>87</v>
      </c>
      <c r="K168" s="229"/>
      <c r="L168" s="229">
        <v>39.98</v>
      </c>
      <c r="M168" s="229">
        <v>70</v>
      </c>
      <c r="N168" s="229">
        <v>241.95</v>
      </c>
      <c r="O168" s="229"/>
      <c r="P168" s="83"/>
      <c r="Q168" s="112">
        <f aca="true" t="shared" si="94" ref="Q168:Q177">SUM(R168:Y168)</f>
        <v>438.92999999999995</v>
      </c>
      <c r="R168" s="174"/>
      <c r="S168" s="229">
        <v>87</v>
      </c>
      <c r="T168" s="229"/>
      <c r="U168" s="229">
        <v>39.98</v>
      </c>
      <c r="V168" s="229">
        <v>70</v>
      </c>
      <c r="W168" s="229">
        <v>241.95</v>
      </c>
      <c r="X168" s="229"/>
      <c r="Y168" s="109"/>
      <c r="Z168" s="80">
        <f aca="true" t="shared" si="95" ref="Z168:Z177">SUM(AA168:AG168)</f>
        <v>448.92999999999995</v>
      </c>
      <c r="AA168" s="174"/>
      <c r="AB168" s="229">
        <v>87</v>
      </c>
      <c r="AC168" s="229"/>
      <c r="AD168" s="229">
        <v>39.98</v>
      </c>
      <c r="AE168" s="229">
        <v>70</v>
      </c>
      <c r="AF168" s="229">
        <v>241.95</v>
      </c>
      <c r="AG168" s="230">
        <v>10</v>
      </c>
      <c r="AH168" s="109"/>
    </row>
    <row r="169" spans="1:34" s="233" customFormat="1" ht="12" customHeight="1" hidden="1" outlineLevel="1">
      <c r="A169" s="10"/>
      <c r="B169" s="46"/>
      <c r="C169" s="46"/>
      <c r="D169" s="96"/>
      <c r="E169" s="121">
        <v>3</v>
      </c>
      <c r="F169" s="148">
        <v>0.7</v>
      </c>
      <c r="G169" s="155">
        <f t="shared" si="92"/>
        <v>0.7</v>
      </c>
      <c r="H169" s="234">
        <f t="shared" si="93"/>
        <v>5.06</v>
      </c>
      <c r="I169" s="260"/>
      <c r="J169" s="229">
        <v>5.06</v>
      </c>
      <c r="K169" s="229"/>
      <c r="L169" s="229"/>
      <c r="M169" s="229"/>
      <c r="N169" s="229"/>
      <c r="O169" s="229"/>
      <c r="P169" s="83"/>
      <c r="Q169" s="112">
        <f t="shared" si="94"/>
        <v>5.06</v>
      </c>
      <c r="R169" s="174"/>
      <c r="S169" s="229">
        <v>5.06</v>
      </c>
      <c r="T169" s="229"/>
      <c r="U169" s="229"/>
      <c r="V169" s="229"/>
      <c r="W169" s="229"/>
      <c r="X169" s="229"/>
      <c r="Y169" s="109"/>
      <c r="Z169" s="80">
        <f t="shared" si="95"/>
        <v>10.059999999999999</v>
      </c>
      <c r="AA169" s="174"/>
      <c r="AB169" s="229">
        <v>5.06</v>
      </c>
      <c r="AC169" s="229"/>
      <c r="AD169" s="229"/>
      <c r="AE169" s="229"/>
      <c r="AF169" s="229"/>
      <c r="AG169" s="230">
        <v>5</v>
      </c>
      <c r="AH169" s="141">
        <f>Z169</f>
        <v>10.059999999999999</v>
      </c>
    </row>
    <row r="170" spans="1:34" s="233" customFormat="1" ht="12" customHeight="1" hidden="1" outlineLevel="1">
      <c r="A170" s="10"/>
      <c r="B170" s="46"/>
      <c r="C170" s="139"/>
      <c r="D170" s="46"/>
      <c r="E170" s="121">
        <v>4</v>
      </c>
      <c r="F170" s="148">
        <v>1.2</v>
      </c>
      <c r="G170" s="155">
        <f t="shared" si="92"/>
        <v>1.2</v>
      </c>
      <c r="H170" s="234">
        <f t="shared" si="93"/>
        <v>8.45</v>
      </c>
      <c r="I170" s="260"/>
      <c r="J170" s="229">
        <v>4.05</v>
      </c>
      <c r="K170" s="229"/>
      <c r="L170" s="229">
        <v>4.4</v>
      </c>
      <c r="M170" s="229"/>
      <c r="N170" s="229"/>
      <c r="O170" s="229"/>
      <c r="P170" s="83"/>
      <c r="Q170" s="112">
        <f t="shared" si="94"/>
        <v>8.45</v>
      </c>
      <c r="R170" s="174"/>
      <c r="S170" s="229">
        <v>4.05</v>
      </c>
      <c r="T170" s="229"/>
      <c r="U170" s="229">
        <v>4.4</v>
      </c>
      <c r="V170" s="229"/>
      <c r="W170" s="229"/>
      <c r="X170" s="229"/>
      <c r="Y170" s="109"/>
      <c r="Z170" s="80">
        <f t="shared" si="95"/>
        <v>13.45</v>
      </c>
      <c r="AA170" s="174"/>
      <c r="AB170" s="229">
        <v>4.05</v>
      </c>
      <c r="AC170" s="229"/>
      <c r="AD170" s="229">
        <v>4.4</v>
      </c>
      <c r="AE170" s="229"/>
      <c r="AF170" s="229"/>
      <c r="AG170" s="230">
        <v>5</v>
      </c>
      <c r="AH170" s="109"/>
    </row>
    <row r="171" spans="1:34" s="233" customFormat="1" ht="12" customHeight="1" hidden="1" outlineLevel="1">
      <c r="A171" s="10"/>
      <c r="B171" s="46"/>
      <c r="C171" s="120"/>
      <c r="D171" s="46"/>
      <c r="E171" s="121">
        <v>5</v>
      </c>
      <c r="F171" s="148">
        <v>3.3</v>
      </c>
      <c r="G171" s="155">
        <f t="shared" si="92"/>
        <v>3.3</v>
      </c>
      <c r="H171" s="234">
        <f t="shared" si="93"/>
        <v>24.82</v>
      </c>
      <c r="I171" s="260"/>
      <c r="J171" s="229">
        <v>11.6</v>
      </c>
      <c r="K171" s="229"/>
      <c r="L171" s="229">
        <v>13.22</v>
      </c>
      <c r="M171" s="229"/>
      <c r="N171" s="229"/>
      <c r="O171" s="229"/>
      <c r="P171" s="83"/>
      <c r="Q171" s="112">
        <f t="shared" si="94"/>
        <v>24.82</v>
      </c>
      <c r="R171" s="174"/>
      <c r="S171" s="229">
        <v>11.6</v>
      </c>
      <c r="T171" s="229"/>
      <c r="U171" s="229">
        <v>13.22</v>
      </c>
      <c r="V171" s="229"/>
      <c r="W171" s="229"/>
      <c r="X171" s="229"/>
      <c r="Y171" s="109"/>
      <c r="Z171" s="80">
        <f t="shared" si="95"/>
        <v>29.82</v>
      </c>
      <c r="AA171" s="174"/>
      <c r="AB171" s="229">
        <v>11.6</v>
      </c>
      <c r="AC171" s="229"/>
      <c r="AD171" s="229">
        <v>13.22</v>
      </c>
      <c r="AE171" s="229"/>
      <c r="AF171" s="229"/>
      <c r="AG171" s="230">
        <v>5</v>
      </c>
      <c r="AH171" s="109"/>
    </row>
    <row r="172" spans="1:34" s="233" customFormat="1" ht="12" customHeight="1" hidden="1" outlineLevel="1">
      <c r="A172" s="10"/>
      <c r="B172" s="46"/>
      <c r="C172" s="120"/>
      <c r="D172" s="46"/>
      <c r="E172" s="81">
        <v>6</v>
      </c>
      <c r="F172" s="148">
        <v>2</v>
      </c>
      <c r="G172" s="155">
        <f t="shared" si="92"/>
        <v>2</v>
      </c>
      <c r="H172" s="234">
        <f t="shared" si="93"/>
        <v>13.7</v>
      </c>
      <c r="I172" s="260"/>
      <c r="J172" s="229">
        <v>6.85</v>
      </c>
      <c r="K172" s="229"/>
      <c r="L172" s="229">
        <v>6.85</v>
      </c>
      <c r="M172" s="229"/>
      <c r="N172" s="229"/>
      <c r="O172" s="229"/>
      <c r="P172" s="83"/>
      <c r="Q172" s="112">
        <f t="shared" si="94"/>
        <v>13.7</v>
      </c>
      <c r="R172" s="174"/>
      <c r="S172" s="229">
        <v>6.85</v>
      </c>
      <c r="T172" s="229"/>
      <c r="U172" s="229">
        <v>6.85</v>
      </c>
      <c r="V172" s="229"/>
      <c r="W172" s="229"/>
      <c r="X172" s="229"/>
      <c r="Y172" s="109"/>
      <c r="Z172" s="80">
        <f t="shared" si="95"/>
        <v>18.7</v>
      </c>
      <c r="AA172" s="174"/>
      <c r="AB172" s="229">
        <v>6.85</v>
      </c>
      <c r="AC172" s="229"/>
      <c r="AD172" s="229">
        <v>6.85</v>
      </c>
      <c r="AE172" s="229"/>
      <c r="AF172" s="229"/>
      <c r="AG172" s="230">
        <v>5</v>
      </c>
      <c r="AH172" s="109"/>
    </row>
    <row r="173" spans="1:35" s="233" customFormat="1" ht="12" customHeight="1" hidden="1" outlineLevel="1">
      <c r="A173" s="10"/>
      <c r="B173" s="46"/>
      <c r="C173" s="46"/>
      <c r="D173" s="46"/>
      <c r="E173" s="121">
        <v>7</v>
      </c>
      <c r="F173" s="148">
        <v>5.2</v>
      </c>
      <c r="G173" s="155">
        <f t="shared" si="92"/>
        <v>5.2</v>
      </c>
      <c r="H173" s="234">
        <f t="shared" si="93"/>
        <v>40.16</v>
      </c>
      <c r="I173" s="260"/>
      <c r="J173" s="229">
        <v>20.08</v>
      </c>
      <c r="K173" s="229"/>
      <c r="L173" s="229">
        <v>20.08</v>
      </c>
      <c r="M173" s="229"/>
      <c r="N173" s="229"/>
      <c r="O173" s="229"/>
      <c r="P173" s="83"/>
      <c r="Q173" s="112">
        <f t="shared" si="94"/>
        <v>40.16</v>
      </c>
      <c r="R173" s="174"/>
      <c r="S173" s="229">
        <v>20.08</v>
      </c>
      <c r="T173" s="229"/>
      <c r="U173" s="229">
        <v>20.08</v>
      </c>
      <c r="V173" s="229"/>
      <c r="W173" s="229"/>
      <c r="X173" s="229"/>
      <c r="Y173" s="141"/>
      <c r="Z173" s="80">
        <f t="shared" si="95"/>
        <v>45.16</v>
      </c>
      <c r="AA173" s="174"/>
      <c r="AB173" s="229">
        <v>20.08</v>
      </c>
      <c r="AC173" s="229"/>
      <c r="AD173" s="229">
        <v>20.08</v>
      </c>
      <c r="AE173" s="229"/>
      <c r="AF173" s="229"/>
      <c r="AG173" s="230">
        <v>5</v>
      </c>
      <c r="AH173" s="141"/>
      <c r="AI173" s="233">
        <f>1815500*0.65</f>
        <v>1180075</v>
      </c>
    </row>
    <row r="174" spans="1:34" s="233" customFormat="1" ht="12" customHeight="1" hidden="1" outlineLevel="1">
      <c r="A174" s="10"/>
      <c r="B174" s="46"/>
      <c r="C174" s="46"/>
      <c r="D174" s="46"/>
      <c r="E174" s="121">
        <v>8</v>
      </c>
      <c r="F174" s="148">
        <v>0</v>
      </c>
      <c r="G174" s="155">
        <f t="shared" si="92"/>
        <v>0</v>
      </c>
      <c r="H174" s="234">
        <f t="shared" si="93"/>
        <v>140</v>
      </c>
      <c r="I174" s="260"/>
      <c r="J174" s="229"/>
      <c r="K174" s="229"/>
      <c r="L174" s="229">
        <v>140</v>
      </c>
      <c r="M174" s="229"/>
      <c r="N174" s="229"/>
      <c r="O174" s="229"/>
      <c r="P174" s="83"/>
      <c r="Q174" s="112">
        <f t="shared" si="94"/>
        <v>140</v>
      </c>
      <c r="R174" s="174"/>
      <c r="S174" s="229"/>
      <c r="T174" s="229"/>
      <c r="U174" s="229">
        <v>140</v>
      </c>
      <c r="V174" s="229"/>
      <c r="W174" s="229"/>
      <c r="X174" s="229"/>
      <c r="Y174" s="109"/>
      <c r="Z174" s="80">
        <f t="shared" si="95"/>
        <v>145</v>
      </c>
      <c r="AA174" s="174"/>
      <c r="AB174" s="229"/>
      <c r="AC174" s="229"/>
      <c r="AD174" s="229">
        <v>140</v>
      </c>
      <c r="AE174" s="229"/>
      <c r="AF174" s="229"/>
      <c r="AG174" s="230">
        <v>5</v>
      </c>
      <c r="AH174" s="109"/>
    </row>
    <row r="175" spans="1:34" s="233" customFormat="1" ht="12" customHeight="1" hidden="1" outlineLevel="1">
      <c r="A175" s="10"/>
      <c r="B175" s="46"/>
      <c r="C175" s="46">
        <f>578.66/Z166</f>
        <v>0.38682549868976945</v>
      </c>
      <c r="D175" s="46"/>
      <c r="E175" s="121">
        <v>9</v>
      </c>
      <c r="F175" s="148">
        <v>0.9</v>
      </c>
      <c r="G175" s="155">
        <f t="shared" si="92"/>
        <v>0.9</v>
      </c>
      <c r="H175" s="234">
        <f t="shared" si="93"/>
        <v>6.5</v>
      </c>
      <c r="I175" s="260"/>
      <c r="J175" s="229">
        <v>6.5</v>
      </c>
      <c r="K175" s="229"/>
      <c r="L175" s="229"/>
      <c r="M175" s="229"/>
      <c r="N175" s="229"/>
      <c r="O175" s="229"/>
      <c r="P175" s="83"/>
      <c r="Q175" s="112">
        <f t="shared" si="94"/>
        <v>6.5</v>
      </c>
      <c r="R175" s="174"/>
      <c r="S175" s="229">
        <v>6.5</v>
      </c>
      <c r="T175" s="229"/>
      <c r="U175" s="229"/>
      <c r="V175" s="229"/>
      <c r="W175" s="229"/>
      <c r="X175" s="229"/>
      <c r="Y175" s="109"/>
      <c r="Z175" s="80">
        <f t="shared" si="95"/>
        <v>11.5</v>
      </c>
      <c r="AA175" s="174"/>
      <c r="AB175" s="229">
        <v>6.5</v>
      </c>
      <c r="AC175" s="229"/>
      <c r="AD175" s="229"/>
      <c r="AE175" s="229"/>
      <c r="AF175" s="229"/>
      <c r="AG175" s="230">
        <v>5</v>
      </c>
      <c r="AH175" s="141">
        <f>Z175</f>
        <v>11.5</v>
      </c>
    </row>
    <row r="176" spans="1:34" s="233" customFormat="1" ht="12" customHeight="1" hidden="1" outlineLevel="1">
      <c r="A176" s="10"/>
      <c r="B176" s="46"/>
      <c r="C176" s="46"/>
      <c r="D176" s="46"/>
      <c r="E176" s="121">
        <v>10</v>
      </c>
      <c r="F176" s="148">
        <v>0.9</v>
      </c>
      <c r="G176" s="155">
        <f t="shared" si="92"/>
        <v>0.9</v>
      </c>
      <c r="H176" s="234">
        <f t="shared" si="93"/>
        <v>6.5</v>
      </c>
      <c r="I176" s="260"/>
      <c r="J176" s="229">
        <v>2.1</v>
      </c>
      <c r="K176" s="229"/>
      <c r="L176" s="229">
        <v>4.4</v>
      </c>
      <c r="M176" s="229"/>
      <c r="N176" s="229"/>
      <c r="O176" s="229"/>
      <c r="P176" s="83"/>
      <c r="Q176" s="112">
        <f t="shared" si="94"/>
        <v>6.5</v>
      </c>
      <c r="R176" s="174"/>
      <c r="S176" s="229">
        <v>2.1</v>
      </c>
      <c r="T176" s="229"/>
      <c r="U176" s="229">
        <v>4.4</v>
      </c>
      <c r="V176" s="229"/>
      <c r="W176" s="229"/>
      <c r="X176" s="229"/>
      <c r="Y176" s="141"/>
      <c r="Z176" s="80">
        <f t="shared" si="95"/>
        <v>11.5</v>
      </c>
      <c r="AA176" s="174"/>
      <c r="AB176" s="229">
        <v>2.1</v>
      </c>
      <c r="AC176" s="229"/>
      <c r="AD176" s="229">
        <v>4.4</v>
      </c>
      <c r="AE176" s="229"/>
      <c r="AF176" s="229"/>
      <c r="AG176" s="230">
        <v>5</v>
      </c>
      <c r="AH176" s="141"/>
    </row>
    <row r="177" spans="1:34" s="233" customFormat="1" ht="12" customHeight="1" hidden="1" outlineLevel="1">
      <c r="A177" s="10"/>
      <c r="B177" s="46"/>
      <c r="C177" s="46"/>
      <c r="D177" s="46"/>
      <c r="E177" s="121">
        <v>11</v>
      </c>
      <c r="F177" s="148">
        <v>2.7</v>
      </c>
      <c r="G177" s="155">
        <f t="shared" si="92"/>
        <v>2.7</v>
      </c>
      <c r="H177" s="234">
        <f t="shared" si="93"/>
        <v>20.2</v>
      </c>
      <c r="I177" s="260"/>
      <c r="J177" s="229">
        <v>10.1</v>
      </c>
      <c r="K177" s="229"/>
      <c r="L177" s="229">
        <v>10.1</v>
      </c>
      <c r="M177" s="229"/>
      <c r="N177" s="229"/>
      <c r="O177" s="229"/>
      <c r="P177" s="83"/>
      <c r="Q177" s="112">
        <f t="shared" si="94"/>
        <v>20.2</v>
      </c>
      <c r="R177" s="174"/>
      <c r="S177" s="229">
        <v>10.1</v>
      </c>
      <c r="T177" s="229"/>
      <c r="U177" s="229">
        <v>10.1</v>
      </c>
      <c r="V177" s="229"/>
      <c r="W177" s="229"/>
      <c r="X177" s="229"/>
      <c r="Y177" s="109"/>
      <c r="Z177" s="80">
        <f t="shared" si="95"/>
        <v>25.2</v>
      </c>
      <c r="AA177" s="174"/>
      <c r="AB177" s="229">
        <v>10.1</v>
      </c>
      <c r="AC177" s="229"/>
      <c r="AD177" s="229">
        <v>10.1</v>
      </c>
      <c r="AE177" s="229"/>
      <c r="AF177" s="229"/>
      <c r="AG177" s="230">
        <v>5</v>
      </c>
      <c r="AH177" s="109"/>
    </row>
    <row r="178" spans="1:34" s="232" customFormat="1" ht="12" customHeight="1" hidden="1" outlineLevel="1">
      <c r="A178" s="98"/>
      <c r="B178" s="46"/>
      <c r="C178" s="96">
        <f>Z166*0.65*1000</f>
        <v>972348.0000000001</v>
      </c>
      <c r="D178" s="46"/>
      <c r="E178" s="81" t="s">
        <v>471</v>
      </c>
      <c r="F178" s="126"/>
      <c r="G178" s="81"/>
      <c r="H178" s="99">
        <f>H166/$H$166</f>
        <v>1</v>
      </c>
      <c r="I178" s="261">
        <f aca="true" t="shared" si="96" ref="I178:P178">I166/$H$166</f>
        <v>0</v>
      </c>
      <c r="J178" s="99">
        <f t="shared" si="96"/>
        <v>0.19934849761303008</v>
      </c>
      <c r="K178" s="99">
        <f t="shared" si="96"/>
        <v>0</v>
      </c>
      <c r="L178" s="99">
        <f t="shared" si="96"/>
        <v>0.16963212580735745</v>
      </c>
      <c r="M178" s="99">
        <f t="shared" si="96"/>
        <v>0.10221847795563042</v>
      </c>
      <c r="N178" s="99">
        <f t="shared" si="96"/>
        <v>0.5288008986239819</v>
      </c>
      <c r="O178" s="99">
        <f t="shared" si="96"/>
        <v>0</v>
      </c>
      <c r="P178" s="99">
        <f t="shared" si="96"/>
        <v>0</v>
      </c>
      <c r="Q178" s="99">
        <f>Q166/$Q$166</f>
        <v>1</v>
      </c>
      <c r="R178" s="99">
        <f aca="true" t="shared" si="97" ref="R178:X178">R166/$Q$166</f>
        <v>0</v>
      </c>
      <c r="S178" s="99">
        <f t="shared" si="97"/>
        <v>0.19934849761303008</v>
      </c>
      <c r="T178" s="99">
        <f t="shared" si="97"/>
        <v>0</v>
      </c>
      <c r="U178" s="99">
        <f t="shared" si="97"/>
        <v>0.16963212580735745</v>
      </c>
      <c r="V178" s="99">
        <f t="shared" si="97"/>
        <v>0.10221847795563042</v>
      </c>
      <c r="W178" s="99">
        <f t="shared" si="97"/>
        <v>0.5288008986239819</v>
      </c>
      <c r="X178" s="99">
        <f t="shared" si="97"/>
        <v>0</v>
      </c>
      <c r="Y178" s="99" t="e">
        <f>Y166/$Q$303</f>
        <v>#DIV/0!</v>
      </c>
      <c r="Z178" s="99">
        <f>Z166/$Z$166</f>
        <v>1</v>
      </c>
      <c r="AA178" s="99">
        <f aca="true" t="shared" si="98" ref="AA178:AH178">AA166/$Z$166</f>
        <v>0</v>
      </c>
      <c r="AB178" s="99">
        <f t="shared" si="98"/>
        <v>0.23727204663350987</v>
      </c>
      <c r="AC178" s="99">
        <f t="shared" si="98"/>
        <v>0</v>
      </c>
      <c r="AD178" s="99">
        <f t="shared" si="98"/>
        <v>0.2019025081555163</v>
      </c>
      <c r="AE178" s="99">
        <f t="shared" si="98"/>
        <v>0.12166426012086207</v>
      </c>
      <c r="AF178" s="99">
        <f t="shared" si="98"/>
        <v>0.39570966361837534</v>
      </c>
      <c r="AG178" s="99">
        <f t="shared" si="98"/>
        <v>0.043451521471736455</v>
      </c>
      <c r="AH178" s="99">
        <f t="shared" si="98"/>
        <v>0.014412535429702122</v>
      </c>
    </row>
    <row r="179" spans="1:34" s="232" customFormat="1" ht="12" customHeight="1" hidden="1" outlineLevel="1">
      <c r="A179" s="98"/>
      <c r="B179" s="46"/>
      <c r="C179" s="96">
        <f>(Z166*1000-C178)</f>
        <v>523571.9999999999</v>
      </c>
      <c r="D179" s="46"/>
      <c r="E179" s="81" t="s">
        <v>472</v>
      </c>
      <c r="F179" s="126"/>
      <c r="G179" s="81"/>
      <c r="H179" s="99"/>
      <c r="I179" s="261"/>
      <c r="J179" s="99"/>
      <c r="K179" s="99"/>
      <c r="L179" s="99"/>
      <c r="M179" s="99"/>
      <c r="N179" s="99"/>
      <c r="O179" s="99"/>
      <c r="P179" s="99"/>
      <c r="Q179" s="65">
        <f aca="true" t="shared" si="99" ref="Q179:AH179">Q166-H166</f>
        <v>0</v>
      </c>
      <c r="R179" s="65">
        <f t="shared" si="99"/>
        <v>0</v>
      </c>
      <c r="S179" s="65">
        <f t="shared" si="99"/>
        <v>0</v>
      </c>
      <c r="T179" s="65">
        <f t="shared" si="99"/>
        <v>0</v>
      </c>
      <c r="U179" s="65">
        <f t="shared" si="99"/>
        <v>0</v>
      </c>
      <c r="V179" s="65">
        <f t="shared" si="99"/>
        <v>0</v>
      </c>
      <c r="W179" s="65">
        <f t="shared" si="99"/>
        <v>0</v>
      </c>
      <c r="X179" s="65">
        <f t="shared" si="99"/>
        <v>0</v>
      </c>
      <c r="Y179" s="65">
        <f t="shared" si="99"/>
        <v>0</v>
      </c>
      <c r="Z179" s="65">
        <f t="shared" si="99"/>
        <v>-284.58000000000015</v>
      </c>
      <c r="AA179" s="65">
        <f t="shared" si="99"/>
        <v>0</v>
      </c>
      <c r="AB179" s="65">
        <f t="shared" si="99"/>
        <v>0</v>
      </c>
      <c r="AC179" s="65">
        <f t="shared" si="99"/>
        <v>0</v>
      </c>
      <c r="AD179" s="65">
        <f t="shared" si="99"/>
        <v>0</v>
      </c>
      <c r="AE179" s="65">
        <f t="shared" si="99"/>
        <v>0</v>
      </c>
      <c r="AF179" s="65">
        <f t="shared" si="99"/>
        <v>-349.5799999999999</v>
      </c>
      <c r="AG179" s="65">
        <f t="shared" si="99"/>
        <v>65</v>
      </c>
      <c r="AH179" s="65">
        <f t="shared" si="99"/>
        <v>21.56</v>
      </c>
    </row>
    <row r="180" spans="1:34" s="233" customFormat="1" ht="12" customHeight="1" hidden="1" outlineLevel="1">
      <c r="A180" s="10"/>
      <c r="B180" s="46"/>
      <c r="C180" s="46"/>
      <c r="D180" s="46"/>
      <c r="E180" s="43" t="s">
        <v>473</v>
      </c>
      <c r="F180" s="44"/>
      <c r="G180" s="43"/>
      <c r="H180" s="91"/>
      <c r="I180" s="262"/>
      <c r="J180" s="91"/>
      <c r="K180" s="91"/>
      <c r="L180" s="91"/>
      <c r="M180" s="91"/>
      <c r="N180" s="91"/>
      <c r="O180" s="91"/>
      <c r="P180" s="91"/>
      <c r="Q180" s="91"/>
      <c r="R180" s="91"/>
      <c r="S180" s="91"/>
      <c r="T180" s="91"/>
      <c r="U180" s="91"/>
      <c r="V180" s="91"/>
      <c r="W180" s="91"/>
      <c r="X180" s="91"/>
      <c r="Y180" s="91"/>
      <c r="Z180" s="65">
        <f>Z166-H166</f>
        <v>-284.58000000000015</v>
      </c>
      <c r="AA180" s="65">
        <f aca="true" t="shared" si="100" ref="AA180:AH180">AA166-I166</f>
        <v>0</v>
      </c>
      <c r="AB180" s="65">
        <f t="shared" si="100"/>
        <v>0</v>
      </c>
      <c r="AC180" s="65">
        <f t="shared" si="100"/>
        <v>0</v>
      </c>
      <c r="AD180" s="65">
        <f t="shared" si="100"/>
        <v>0</v>
      </c>
      <c r="AE180" s="65">
        <f t="shared" si="100"/>
        <v>0</v>
      </c>
      <c r="AF180" s="65">
        <f t="shared" si="100"/>
        <v>-349.5799999999999</v>
      </c>
      <c r="AG180" s="65">
        <f t="shared" si="100"/>
        <v>65</v>
      </c>
      <c r="AH180" s="65">
        <f t="shared" si="100"/>
        <v>21.56</v>
      </c>
    </row>
    <row r="181" spans="1:133" s="56" customFormat="1" ht="12" customHeight="1" collapsed="1">
      <c r="A181" s="88">
        <v>23</v>
      </c>
      <c r="B181" s="106" t="s">
        <v>482</v>
      </c>
      <c r="C181" s="211" t="s">
        <v>759</v>
      </c>
      <c r="D181" s="106"/>
      <c r="E181" s="102"/>
      <c r="F181" s="115">
        <f>SUM(F182:F188)</f>
        <v>274</v>
      </c>
      <c r="G181" s="115">
        <f>SUM(G182:G188)</f>
        <v>34.59090909090909</v>
      </c>
      <c r="H181" s="111">
        <f>SUM(H182:H188)</f>
        <v>502.77</v>
      </c>
      <c r="I181" s="259">
        <f aca="true" t="shared" si="101" ref="I181:O181">SUM(I182:I188)</f>
        <v>53.760000000000005</v>
      </c>
      <c r="J181" s="111">
        <f t="shared" si="101"/>
        <v>211.2</v>
      </c>
      <c r="K181" s="111">
        <f t="shared" si="101"/>
        <v>23</v>
      </c>
      <c r="L181" s="111">
        <f t="shared" si="101"/>
        <v>72</v>
      </c>
      <c r="M181" s="111">
        <f t="shared" si="101"/>
        <v>37</v>
      </c>
      <c r="N181" s="111">
        <f t="shared" si="101"/>
        <v>48</v>
      </c>
      <c r="O181" s="111">
        <f t="shared" si="101"/>
        <v>57.81</v>
      </c>
      <c r="P181" s="111"/>
      <c r="Q181" s="111">
        <f>SUM(Q182:Q188)</f>
        <v>421.34999999999997</v>
      </c>
      <c r="R181" s="111">
        <f aca="true" t="shared" si="102" ref="R181:X181">SUM(R182:R188)</f>
        <v>48.75</v>
      </c>
      <c r="S181" s="111">
        <f t="shared" si="102"/>
        <v>152.6</v>
      </c>
      <c r="T181" s="111">
        <f t="shared" si="102"/>
        <v>0</v>
      </c>
      <c r="U181" s="111">
        <f t="shared" si="102"/>
        <v>74</v>
      </c>
      <c r="V181" s="111">
        <f t="shared" si="102"/>
        <v>36</v>
      </c>
      <c r="W181" s="111">
        <f t="shared" si="102"/>
        <v>4.5</v>
      </c>
      <c r="X181" s="111">
        <f t="shared" si="102"/>
        <v>105.5</v>
      </c>
      <c r="Y181" s="111"/>
      <c r="Z181" s="111">
        <f>SUM(Z182:Z188)</f>
        <v>421.34999999999997</v>
      </c>
      <c r="AA181" s="111">
        <f aca="true" t="shared" si="103" ref="AA181:AH181">SUM(AA182:AA188)</f>
        <v>133.15</v>
      </c>
      <c r="AB181" s="111">
        <f t="shared" si="103"/>
        <v>152.6</v>
      </c>
      <c r="AC181" s="111">
        <f t="shared" si="103"/>
        <v>0</v>
      </c>
      <c r="AD181" s="111">
        <f t="shared" si="103"/>
        <v>74</v>
      </c>
      <c r="AE181" s="111">
        <f t="shared" si="103"/>
        <v>36</v>
      </c>
      <c r="AF181" s="111">
        <f t="shared" si="103"/>
        <v>4.5</v>
      </c>
      <c r="AG181" s="111">
        <f t="shared" si="103"/>
        <v>21.1</v>
      </c>
      <c r="AH181" s="89">
        <f t="shared" si="103"/>
        <v>0</v>
      </c>
      <c r="AI181" s="42"/>
      <c r="AJ181" s="41"/>
      <c r="AK181" s="42"/>
      <c r="AL181" s="41"/>
      <c r="AM181" s="41"/>
      <c r="AN181" s="41"/>
      <c r="AO181" s="42"/>
      <c r="AP181" s="58"/>
      <c r="AQ181" s="57"/>
      <c r="AR181" s="57"/>
      <c r="AS181" s="65"/>
      <c r="AT181" s="59"/>
      <c r="AU181" s="41"/>
      <c r="AV181" s="41"/>
      <c r="AW181" s="11"/>
      <c r="AX181" s="11"/>
      <c r="AY181" s="11"/>
      <c r="AZ181" s="11"/>
      <c r="BA181" s="11"/>
      <c r="BB181" s="11"/>
      <c r="BC181" s="11"/>
      <c r="BD181" s="11"/>
      <c r="BE181" s="60"/>
      <c r="BF181" s="59"/>
      <c r="BG181" s="58"/>
      <c r="BH181" s="59"/>
      <c r="BI181" s="57"/>
      <c r="BJ181" s="60"/>
      <c r="BK181" s="59"/>
      <c r="BL181" s="93"/>
      <c r="BM181" s="61"/>
      <c r="BN181" s="61"/>
      <c r="BO181" s="59"/>
      <c r="BP181" s="18"/>
      <c r="BQ181" s="39"/>
      <c r="BR181" s="12"/>
      <c r="BS181" s="12"/>
      <c r="BT181" s="32"/>
      <c r="BU181" s="14"/>
      <c r="BV181" s="28"/>
      <c r="BW181" s="28"/>
      <c r="BX181" s="14"/>
      <c r="BY181" s="29"/>
      <c r="BZ181" s="14"/>
      <c r="CA181" s="16"/>
      <c r="CB181" s="31"/>
      <c r="CC181" s="13"/>
      <c r="CD181" s="28"/>
      <c r="CE181" s="13"/>
      <c r="CF181" s="17"/>
      <c r="CG181" s="5"/>
      <c r="CH181" s="22"/>
      <c r="CI181" s="22"/>
      <c r="CJ181" s="22"/>
      <c r="CK181" s="22"/>
      <c r="CL181" s="22"/>
      <c r="CM181" s="22"/>
      <c r="CN181" s="14"/>
      <c r="CO181" s="22"/>
      <c r="CP181" s="22"/>
      <c r="CQ181" s="22"/>
      <c r="CR181" s="22"/>
      <c r="CS181" s="22"/>
      <c r="CT181" s="22"/>
      <c r="CU181" s="30"/>
      <c r="CV181" s="22"/>
      <c r="CW181" s="22"/>
      <c r="CX181" s="22"/>
      <c r="CY181" s="22"/>
      <c r="CZ181" s="22"/>
      <c r="DA181" s="22"/>
      <c r="DB181" s="22"/>
      <c r="DC181" s="35"/>
      <c r="DD181" s="37"/>
      <c r="DE181" s="22"/>
      <c r="DF181" s="5"/>
      <c r="DG181" s="36"/>
      <c r="DH181" s="22"/>
      <c r="DI181" s="14"/>
      <c r="DJ181" s="14"/>
      <c r="DK181" s="23"/>
      <c r="DL181" s="19"/>
      <c r="DM181" s="19"/>
      <c r="DN181" s="15"/>
      <c r="DO181" s="131"/>
      <c r="DQ181" s="74"/>
      <c r="DR181" s="94"/>
      <c r="DS181" s="132"/>
      <c r="DT181" s="75"/>
      <c r="DU181" s="94"/>
      <c r="DV181" s="133"/>
      <c r="DW181" s="94"/>
      <c r="DX181" s="62"/>
      <c r="DZ181" s="75"/>
      <c r="EC181" s="62"/>
    </row>
    <row r="182" spans="1:36" s="130" customFormat="1" ht="12" customHeight="1" hidden="1" outlineLevel="1">
      <c r="A182" s="10"/>
      <c r="B182" s="46"/>
      <c r="C182" s="186" t="s">
        <v>760</v>
      </c>
      <c r="D182" s="107"/>
      <c r="E182" s="81">
        <v>1</v>
      </c>
      <c r="F182" s="196">
        <v>3</v>
      </c>
      <c r="G182" s="226">
        <v>5</v>
      </c>
      <c r="H182" s="80">
        <f aca="true" t="shared" si="104" ref="H182:H188">SUM(I182:P182)</f>
        <v>8.365</v>
      </c>
      <c r="I182" s="263">
        <v>2.24</v>
      </c>
      <c r="J182" s="108">
        <v>4</v>
      </c>
      <c r="K182" s="108"/>
      <c r="L182" s="108"/>
      <c r="M182" s="108"/>
      <c r="N182" s="108"/>
      <c r="O182" s="109">
        <v>2.125</v>
      </c>
      <c r="P182" s="109"/>
      <c r="Q182" s="187">
        <f aca="true" t="shared" si="105" ref="Q182:Q188">SUM(R182:Y182)</f>
        <v>40.5</v>
      </c>
      <c r="R182" s="187">
        <v>12</v>
      </c>
      <c r="S182" s="187">
        <v>10.5</v>
      </c>
      <c r="T182" s="187"/>
      <c r="U182" s="187"/>
      <c r="V182" s="187"/>
      <c r="W182" s="187"/>
      <c r="X182" s="187">
        <v>18</v>
      </c>
      <c r="Y182" s="80"/>
      <c r="Z182" s="112">
        <f>SUM(AA182:AG182)</f>
        <v>40.5</v>
      </c>
      <c r="AA182" s="219">
        <v>26.4</v>
      </c>
      <c r="AB182" s="206">
        <v>10.5</v>
      </c>
      <c r="AC182" s="206"/>
      <c r="AD182" s="206"/>
      <c r="AE182" s="206"/>
      <c r="AF182" s="206"/>
      <c r="AG182" s="219">
        <v>3.6</v>
      </c>
      <c r="AH182" s="80"/>
      <c r="AI182" s="187"/>
      <c r="AJ182" s="130">
        <f>AI182*4/5</f>
        <v>0</v>
      </c>
    </row>
    <row r="183" spans="1:36" s="130" customFormat="1" ht="12" customHeight="1" hidden="1" outlineLevel="1">
      <c r="A183" s="10"/>
      <c r="B183" s="46"/>
      <c r="C183" s="188" t="s">
        <v>761</v>
      </c>
      <c r="D183" s="100"/>
      <c r="E183" s="220">
        <v>2</v>
      </c>
      <c r="F183" s="196">
        <v>24</v>
      </c>
      <c r="G183" s="226">
        <v>3.409090909090909</v>
      </c>
      <c r="H183" s="80">
        <f t="shared" si="104"/>
        <v>40.86</v>
      </c>
      <c r="I183" s="262">
        <v>8.96</v>
      </c>
      <c r="J183" s="108">
        <v>14.4</v>
      </c>
      <c r="K183" s="108"/>
      <c r="L183" s="108"/>
      <c r="M183" s="108">
        <v>8</v>
      </c>
      <c r="N183" s="108"/>
      <c r="O183" s="109">
        <v>9.5</v>
      </c>
      <c r="P183" s="109"/>
      <c r="Q183" s="187">
        <f t="shared" si="105"/>
        <v>83.75</v>
      </c>
      <c r="R183" s="52">
        <v>0</v>
      </c>
      <c r="S183" s="48">
        <v>26.25</v>
      </c>
      <c r="T183" s="48"/>
      <c r="U183" s="48">
        <v>12</v>
      </c>
      <c r="V183" s="48">
        <v>36</v>
      </c>
      <c r="W183" s="48">
        <v>4.5</v>
      </c>
      <c r="X183" s="83">
        <v>5</v>
      </c>
      <c r="Y183" s="83"/>
      <c r="Z183" s="112">
        <f aca="true" t="shared" si="106" ref="Z183:Z188">SUM(AA183:AG183)</f>
        <v>79.75</v>
      </c>
      <c r="AA183" s="201">
        <v>0</v>
      </c>
      <c r="AB183" s="108">
        <f>26.25</f>
        <v>26.25</v>
      </c>
      <c r="AC183" s="108"/>
      <c r="AD183" s="108">
        <v>12</v>
      </c>
      <c r="AE183" s="108">
        <v>36</v>
      </c>
      <c r="AF183" s="108">
        <v>4.5</v>
      </c>
      <c r="AG183" s="219">
        <v>1</v>
      </c>
      <c r="AH183" s="83"/>
      <c r="AI183" s="83"/>
      <c r="AJ183" s="130">
        <f aca="true" t="shared" si="107" ref="AJ183:AJ188">AI183*4/5</f>
        <v>0</v>
      </c>
    </row>
    <row r="184" spans="1:36" s="130" customFormat="1" ht="12" customHeight="1" hidden="1" outlineLevel="1">
      <c r="A184" s="10"/>
      <c r="B184" s="46"/>
      <c r="C184" s="189">
        <f>Z181*0.65*1000</f>
        <v>273877.5</v>
      </c>
      <c r="D184" s="96"/>
      <c r="E184" s="81">
        <v>3</v>
      </c>
      <c r="F184" s="196">
        <v>22</v>
      </c>
      <c r="G184" s="226">
        <v>9.090909090909092</v>
      </c>
      <c r="H184" s="80">
        <f t="shared" si="104"/>
        <v>110.5</v>
      </c>
      <c r="I184" s="262"/>
      <c r="J184" s="108">
        <v>11</v>
      </c>
      <c r="K184" s="108"/>
      <c r="L184" s="108"/>
      <c r="M184" s="108">
        <v>25</v>
      </c>
      <c r="N184" s="108">
        <v>48</v>
      </c>
      <c r="O184" s="109">
        <v>26.5</v>
      </c>
      <c r="P184" s="109"/>
      <c r="Q184" s="187">
        <f t="shared" si="105"/>
        <v>94</v>
      </c>
      <c r="R184" s="52">
        <v>12</v>
      </c>
      <c r="S184" s="48">
        <v>42</v>
      </c>
      <c r="T184" s="48"/>
      <c r="U184" s="48">
        <v>35</v>
      </c>
      <c r="V184" s="48"/>
      <c r="W184" s="48"/>
      <c r="X184" s="83">
        <v>5</v>
      </c>
      <c r="Y184" s="83"/>
      <c r="Z184" s="112">
        <f t="shared" si="106"/>
        <v>98</v>
      </c>
      <c r="AA184" s="201">
        <f>16+4</f>
        <v>20</v>
      </c>
      <c r="AB184" s="108">
        <v>42</v>
      </c>
      <c r="AC184" s="108"/>
      <c r="AD184" s="108">
        <v>35</v>
      </c>
      <c r="AE184" s="108"/>
      <c r="AF184" s="108"/>
      <c r="AG184" s="219">
        <v>1</v>
      </c>
      <c r="AH184" s="83"/>
      <c r="AI184" s="83"/>
      <c r="AJ184" s="130">
        <f t="shared" si="107"/>
        <v>0</v>
      </c>
    </row>
    <row r="185" spans="1:36" s="130" customFormat="1" ht="12" customHeight="1" hidden="1" outlineLevel="1">
      <c r="A185" s="10"/>
      <c r="B185" s="46"/>
      <c r="C185" s="189">
        <f>Z181*1000-C184</f>
        <v>147472.49999999994</v>
      </c>
      <c r="D185" s="96"/>
      <c r="E185" s="81">
        <v>4</v>
      </c>
      <c r="F185" s="196">
        <v>48</v>
      </c>
      <c r="G185" s="226">
        <v>3.6363636363636362</v>
      </c>
      <c r="H185" s="80">
        <f t="shared" si="104"/>
        <v>212.54</v>
      </c>
      <c r="I185" s="262">
        <v>13.44</v>
      </c>
      <c r="J185" s="108">
        <v>120.6</v>
      </c>
      <c r="K185" s="108">
        <v>23</v>
      </c>
      <c r="L185" s="108">
        <v>52</v>
      </c>
      <c r="M185" s="108"/>
      <c r="N185" s="108"/>
      <c r="O185" s="109">
        <v>3.5</v>
      </c>
      <c r="P185" s="109"/>
      <c r="Q185" s="187">
        <f t="shared" si="105"/>
        <v>42.5</v>
      </c>
      <c r="R185" s="52">
        <v>4.5</v>
      </c>
      <c r="S185" s="48">
        <v>17.5</v>
      </c>
      <c r="T185" s="48"/>
      <c r="U185" s="48"/>
      <c r="V185" s="48"/>
      <c r="W185" s="48"/>
      <c r="X185" s="83">
        <v>20.5</v>
      </c>
      <c r="Y185" s="83"/>
      <c r="Z185" s="112">
        <f t="shared" si="106"/>
        <v>42.5</v>
      </c>
      <c r="AA185" s="201">
        <f>4.5+4*4.1</f>
        <v>20.9</v>
      </c>
      <c r="AB185" s="108">
        <v>17.5</v>
      </c>
      <c r="AC185" s="108"/>
      <c r="AD185" s="201"/>
      <c r="AE185" s="108"/>
      <c r="AF185" s="108"/>
      <c r="AG185" s="219">
        <v>4.1</v>
      </c>
      <c r="AH185" s="83"/>
      <c r="AI185" s="83">
        <v>20.5</v>
      </c>
      <c r="AJ185" s="130">
        <f t="shared" si="107"/>
        <v>16.4</v>
      </c>
    </row>
    <row r="186" spans="1:36" s="130" customFormat="1" ht="12" customHeight="1" hidden="1" outlineLevel="1">
      <c r="A186" s="10"/>
      <c r="B186" s="46"/>
      <c r="C186" s="186" t="s">
        <v>764</v>
      </c>
      <c r="D186" s="46"/>
      <c r="E186" s="220">
        <v>5</v>
      </c>
      <c r="F186" s="196">
        <v>12</v>
      </c>
      <c r="G186" s="226">
        <v>9.636363636363637</v>
      </c>
      <c r="H186" s="80">
        <f t="shared" si="104"/>
        <v>32</v>
      </c>
      <c r="I186" s="262"/>
      <c r="J186" s="108">
        <v>9</v>
      </c>
      <c r="K186" s="108"/>
      <c r="L186" s="108">
        <v>14</v>
      </c>
      <c r="M186" s="108">
        <v>4</v>
      </c>
      <c r="N186" s="108"/>
      <c r="O186" s="109">
        <v>5</v>
      </c>
      <c r="P186" s="109"/>
      <c r="Q186" s="187">
        <f t="shared" si="105"/>
        <v>82.2</v>
      </c>
      <c r="R186" s="52">
        <v>12</v>
      </c>
      <c r="S186" s="48">
        <v>46.2</v>
      </c>
      <c r="T186" s="48"/>
      <c r="U186" s="48">
        <v>20</v>
      </c>
      <c r="V186" s="48"/>
      <c r="W186" s="48"/>
      <c r="X186" s="83">
        <v>4</v>
      </c>
      <c r="Y186" s="83"/>
      <c r="Z186" s="112">
        <f t="shared" si="106"/>
        <v>82.2</v>
      </c>
      <c r="AA186" s="201">
        <f>12+4*0.8</f>
        <v>15.2</v>
      </c>
      <c r="AB186" s="108">
        <v>46.2</v>
      </c>
      <c r="AC186" s="108"/>
      <c r="AD186" s="228">
        <v>20</v>
      </c>
      <c r="AE186" s="108"/>
      <c r="AF186" s="108"/>
      <c r="AG186" s="219">
        <v>0.8</v>
      </c>
      <c r="AH186" s="83"/>
      <c r="AI186" s="83">
        <f>AI185/5</f>
        <v>4.1</v>
      </c>
      <c r="AJ186" s="130">
        <f t="shared" si="107"/>
        <v>3.28</v>
      </c>
    </row>
    <row r="187" spans="1:36" s="130" customFormat="1" ht="12" customHeight="1" hidden="1" outlineLevel="1">
      <c r="A187" s="10"/>
      <c r="B187" s="46"/>
      <c r="C187" s="221" t="s">
        <v>765</v>
      </c>
      <c r="D187" s="222"/>
      <c r="E187" s="223">
        <v>6</v>
      </c>
      <c r="F187" s="225">
        <f>13*9</f>
        <v>117</v>
      </c>
      <c r="G187" s="227">
        <v>1.8181818181818181</v>
      </c>
      <c r="H187" s="80">
        <f t="shared" si="104"/>
        <v>73.50500000000001</v>
      </c>
      <c r="I187" s="265">
        <v>29.12</v>
      </c>
      <c r="J187" s="222">
        <v>42</v>
      </c>
      <c r="K187" s="222"/>
      <c r="L187" s="224"/>
      <c r="M187" s="224"/>
      <c r="N187" s="224"/>
      <c r="O187" s="109">
        <v>2.385</v>
      </c>
      <c r="P187" s="109"/>
      <c r="Q187" s="187">
        <f t="shared" si="105"/>
        <v>21</v>
      </c>
      <c r="R187" s="52">
        <v>4.5</v>
      </c>
      <c r="S187" s="48">
        <v>3.5</v>
      </c>
      <c r="T187" s="48"/>
      <c r="U187" s="48">
        <v>7</v>
      </c>
      <c r="V187" s="48"/>
      <c r="W187" s="48"/>
      <c r="X187" s="83">
        <v>6</v>
      </c>
      <c r="Y187" s="83"/>
      <c r="Z187" s="112">
        <f t="shared" si="106"/>
        <v>21</v>
      </c>
      <c r="AA187" s="201">
        <f>4.5+4*1.2</f>
        <v>9.3</v>
      </c>
      <c r="AB187" s="108">
        <v>3.5</v>
      </c>
      <c r="AC187" s="108"/>
      <c r="AD187" s="228">
        <v>7</v>
      </c>
      <c r="AE187" s="108"/>
      <c r="AF187" s="108"/>
      <c r="AG187" s="219">
        <v>1.2</v>
      </c>
      <c r="AH187" s="83"/>
      <c r="AI187" s="83">
        <f>4/5</f>
        <v>0.8</v>
      </c>
      <c r="AJ187" s="130">
        <f t="shared" si="107"/>
        <v>0.64</v>
      </c>
    </row>
    <row r="188" spans="1:36" s="130" customFormat="1" ht="12" customHeight="1" hidden="1" outlineLevel="1">
      <c r="A188" s="10"/>
      <c r="B188" s="46"/>
      <c r="C188" s="221" t="s">
        <v>766</v>
      </c>
      <c r="D188" s="222"/>
      <c r="E188" s="223">
        <v>7</v>
      </c>
      <c r="F188" s="225">
        <f>16*3</f>
        <v>48</v>
      </c>
      <c r="G188" s="227">
        <v>2</v>
      </c>
      <c r="H188" s="80">
        <f t="shared" si="104"/>
        <v>25</v>
      </c>
      <c r="I188" s="265"/>
      <c r="J188" s="222">
        <v>10.2</v>
      </c>
      <c r="K188" s="222"/>
      <c r="L188" s="224">
        <v>6</v>
      </c>
      <c r="M188" s="224"/>
      <c r="N188" s="224"/>
      <c r="O188" s="109">
        <v>8.8</v>
      </c>
      <c r="P188" s="109"/>
      <c r="Q188" s="187">
        <f t="shared" si="105"/>
        <v>57.4</v>
      </c>
      <c r="R188" s="52">
        <v>3.75</v>
      </c>
      <c r="S188" s="48">
        <v>6.65</v>
      </c>
      <c r="T188" s="48"/>
      <c r="U188" s="48"/>
      <c r="V188" s="48"/>
      <c r="W188" s="48"/>
      <c r="X188" s="83">
        <v>47</v>
      </c>
      <c r="Y188" s="83"/>
      <c r="Z188" s="112">
        <f t="shared" si="106"/>
        <v>57.4</v>
      </c>
      <c r="AA188" s="201">
        <f>3.75+4*9.4</f>
        <v>41.35</v>
      </c>
      <c r="AB188" s="108">
        <v>6.65</v>
      </c>
      <c r="AC188" s="108"/>
      <c r="AD188" s="201"/>
      <c r="AE188" s="108"/>
      <c r="AF188" s="108"/>
      <c r="AG188" s="219">
        <v>9.4</v>
      </c>
      <c r="AH188" s="83"/>
      <c r="AI188" s="83"/>
      <c r="AJ188" s="130">
        <f t="shared" si="107"/>
        <v>0</v>
      </c>
    </row>
    <row r="189" spans="1:36" s="130" customFormat="1" ht="12" customHeight="1" hidden="1" outlineLevel="1">
      <c r="A189" s="10"/>
      <c r="B189" s="46"/>
      <c r="C189" s="221"/>
      <c r="D189" s="222"/>
      <c r="E189" s="81" t="s">
        <v>471</v>
      </c>
      <c r="F189" s="126"/>
      <c r="G189" s="129"/>
      <c r="H189" s="99">
        <f>H181/$H$181</f>
        <v>1</v>
      </c>
      <c r="I189" s="261">
        <f aca="true" t="shared" si="108" ref="I189:O189">I181/$H$181</f>
        <v>0.10692762097977207</v>
      </c>
      <c r="J189" s="99">
        <f t="shared" si="108"/>
        <v>0.42007279670624736</v>
      </c>
      <c r="K189" s="99">
        <f t="shared" si="108"/>
        <v>0.04574656403524475</v>
      </c>
      <c r="L189" s="99">
        <f t="shared" si="108"/>
        <v>0.14320663524076616</v>
      </c>
      <c r="M189" s="99">
        <f t="shared" si="108"/>
        <v>0.07359229866539373</v>
      </c>
      <c r="N189" s="99">
        <f t="shared" si="108"/>
        <v>0.09547109016051078</v>
      </c>
      <c r="O189" s="99">
        <f t="shared" si="108"/>
        <v>0.11498299421206516</v>
      </c>
      <c r="P189" s="109"/>
      <c r="Q189" s="99">
        <f>Q181/$Q$181</f>
        <v>1</v>
      </c>
      <c r="R189" s="99">
        <f aca="true" t="shared" si="109" ref="R189:X189">R181/$Q$181</f>
        <v>0.11569953720185121</v>
      </c>
      <c r="S189" s="99">
        <f t="shared" si="109"/>
        <v>0.36216921798979473</v>
      </c>
      <c r="T189" s="99">
        <f t="shared" si="109"/>
        <v>0</v>
      </c>
      <c r="U189" s="99">
        <f t="shared" si="109"/>
        <v>0.17562596416281004</v>
      </c>
      <c r="V189" s="99">
        <f t="shared" si="109"/>
        <v>0.08543965824136704</v>
      </c>
      <c r="W189" s="99">
        <f t="shared" si="109"/>
        <v>0.01067995728017088</v>
      </c>
      <c r="X189" s="99">
        <f t="shared" si="109"/>
        <v>0.2503856651240062</v>
      </c>
      <c r="Y189" s="83"/>
      <c r="Z189" s="99">
        <f>Z181/$Z$181</f>
        <v>1</v>
      </c>
      <c r="AA189" s="99">
        <f aca="true" t="shared" si="110" ref="AA189:AH189">AA181/$Z$181</f>
        <v>0.3160080693010562</v>
      </c>
      <c r="AB189" s="99">
        <f t="shared" si="110"/>
        <v>0.36216921798979473</v>
      </c>
      <c r="AC189" s="99">
        <f t="shared" si="110"/>
        <v>0</v>
      </c>
      <c r="AD189" s="99">
        <f t="shared" si="110"/>
        <v>0.17562596416281004</v>
      </c>
      <c r="AE189" s="99">
        <f t="shared" si="110"/>
        <v>0.08543965824136704</v>
      </c>
      <c r="AF189" s="99">
        <f t="shared" si="110"/>
        <v>0.01067995728017088</v>
      </c>
      <c r="AG189" s="99">
        <f t="shared" si="110"/>
        <v>0.05007713302480124</v>
      </c>
      <c r="AH189" s="99">
        <f t="shared" si="110"/>
        <v>0</v>
      </c>
      <c r="AJ189" s="130">
        <f>SUM(AJ182:AJ188)</f>
        <v>20.32</v>
      </c>
    </row>
    <row r="190" spans="1:34" s="130" customFormat="1" ht="12" customHeight="1" hidden="1" outlineLevel="1">
      <c r="A190" s="10"/>
      <c r="B190" s="46"/>
      <c r="C190" s="221"/>
      <c r="D190" s="222"/>
      <c r="E190" s="81" t="s">
        <v>472</v>
      </c>
      <c r="F190" s="126"/>
      <c r="G190" s="129"/>
      <c r="H190" s="99"/>
      <c r="I190" s="261"/>
      <c r="J190" s="99"/>
      <c r="K190" s="99"/>
      <c r="L190" s="99"/>
      <c r="M190" s="99"/>
      <c r="N190" s="99"/>
      <c r="O190" s="99"/>
      <c r="P190" s="109"/>
      <c r="Q190" s="65">
        <f>Q181-H181</f>
        <v>-81.42000000000002</v>
      </c>
      <c r="R190" s="65">
        <f aca="true" t="shared" si="111" ref="R190:X190">R181-I181</f>
        <v>-5.010000000000005</v>
      </c>
      <c r="S190" s="65">
        <f t="shared" si="111"/>
        <v>-58.599999999999994</v>
      </c>
      <c r="T190" s="65">
        <f t="shared" si="111"/>
        <v>-23</v>
      </c>
      <c r="U190" s="65">
        <f t="shared" si="111"/>
        <v>2</v>
      </c>
      <c r="V190" s="65">
        <f t="shared" si="111"/>
        <v>-1</v>
      </c>
      <c r="W190" s="65">
        <f t="shared" si="111"/>
        <v>-43.5</v>
      </c>
      <c r="X190" s="65">
        <f t="shared" si="111"/>
        <v>47.69</v>
      </c>
      <c r="Y190" s="83"/>
      <c r="Z190" s="65">
        <f aca="true" t="shared" si="112" ref="Z190:AH190">Z181-Q181</f>
        <v>0</v>
      </c>
      <c r="AA190" s="65">
        <f t="shared" si="112"/>
        <v>84.4</v>
      </c>
      <c r="AB190" s="65">
        <f t="shared" si="112"/>
        <v>0</v>
      </c>
      <c r="AC190" s="65">
        <f t="shared" si="112"/>
        <v>0</v>
      </c>
      <c r="AD190" s="65">
        <f t="shared" si="112"/>
        <v>0</v>
      </c>
      <c r="AE190" s="65">
        <f t="shared" si="112"/>
        <v>0</v>
      </c>
      <c r="AF190" s="65">
        <f t="shared" si="112"/>
        <v>0</v>
      </c>
      <c r="AG190" s="65">
        <f t="shared" si="112"/>
        <v>-84.4</v>
      </c>
      <c r="AH190" s="65">
        <f t="shared" si="112"/>
        <v>0</v>
      </c>
    </row>
    <row r="191" spans="1:34" s="130" customFormat="1" ht="12" customHeight="1" hidden="1" outlineLevel="1">
      <c r="A191" s="10"/>
      <c r="B191" s="46"/>
      <c r="C191" s="221"/>
      <c r="D191" s="222"/>
      <c r="E191" s="43" t="s">
        <v>473</v>
      </c>
      <c r="F191" s="126"/>
      <c r="G191" s="129"/>
      <c r="H191" s="99"/>
      <c r="I191" s="261"/>
      <c r="J191" s="99"/>
      <c r="K191" s="99"/>
      <c r="L191" s="99"/>
      <c r="M191" s="99"/>
      <c r="N191" s="99"/>
      <c r="O191" s="99"/>
      <c r="P191" s="109"/>
      <c r="Q191" s="65"/>
      <c r="R191" s="65"/>
      <c r="S191" s="65"/>
      <c r="T191" s="65"/>
      <c r="U191" s="65"/>
      <c r="V191" s="65"/>
      <c r="W191" s="65"/>
      <c r="X191" s="65"/>
      <c r="Y191" s="83"/>
      <c r="Z191" s="65">
        <f>Z181-H181</f>
        <v>-81.42000000000002</v>
      </c>
      <c r="AA191" s="65">
        <f aca="true" t="shared" si="113" ref="AA191:AG191">AA181-I181</f>
        <v>79.39</v>
      </c>
      <c r="AB191" s="65">
        <f t="shared" si="113"/>
        <v>-58.599999999999994</v>
      </c>
      <c r="AC191" s="65">
        <f t="shared" si="113"/>
        <v>-23</v>
      </c>
      <c r="AD191" s="65">
        <f t="shared" si="113"/>
        <v>2</v>
      </c>
      <c r="AE191" s="65">
        <f t="shared" si="113"/>
        <v>-1</v>
      </c>
      <c r="AF191" s="65">
        <f t="shared" si="113"/>
        <v>-43.5</v>
      </c>
      <c r="AG191" s="65">
        <f t="shared" si="113"/>
        <v>-36.71</v>
      </c>
      <c r="AH191" s="65">
        <f>AH181-P181</f>
        <v>0</v>
      </c>
    </row>
    <row r="192" spans="1:133" s="351" customFormat="1" ht="12" customHeight="1" collapsed="1">
      <c r="A192" s="312">
        <v>24</v>
      </c>
      <c r="B192" s="312" t="s">
        <v>482</v>
      </c>
      <c r="C192" s="321" t="s">
        <v>55</v>
      </c>
      <c r="D192" s="312" t="s">
        <v>530</v>
      </c>
      <c r="E192" s="322"/>
      <c r="F192" s="323">
        <f>SUM(F193:F201)</f>
        <v>372</v>
      </c>
      <c r="G192" s="323">
        <f>SUM(G193:G201)</f>
        <v>0</v>
      </c>
      <c r="H192" s="319">
        <f>SUM(H193:H201)</f>
        <v>1980</v>
      </c>
      <c r="I192" s="324">
        <f>SUM(I193:I201)</f>
        <v>1370</v>
      </c>
      <c r="J192" s="319">
        <f aca="true" t="shared" si="114" ref="J192:AH192">SUM(J193:J201)</f>
        <v>270</v>
      </c>
      <c r="K192" s="319">
        <f t="shared" si="114"/>
        <v>92</v>
      </c>
      <c r="L192" s="319">
        <f t="shared" si="114"/>
        <v>0</v>
      </c>
      <c r="M192" s="319">
        <f t="shared" si="114"/>
        <v>133</v>
      </c>
      <c r="N192" s="319">
        <f t="shared" si="114"/>
        <v>45</v>
      </c>
      <c r="O192" s="319">
        <f t="shared" si="114"/>
        <v>70</v>
      </c>
      <c r="P192" s="319">
        <f t="shared" si="114"/>
        <v>0</v>
      </c>
      <c r="Q192" s="319">
        <f t="shared" si="114"/>
        <v>0</v>
      </c>
      <c r="R192" s="319">
        <f t="shared" si="114"/>
        <v>0</v>
      </c>
      <c r="S192" s="319">
        <f t="shared" si="114"/>
        <v>0</v>
      </c>
      <c r="T192" s="319">
        <f t="shared" si="114"/>
        <v>0</v>
      </c>
      <c r="U192" s="319">
        <f t="shared" si="114"/>
        <v>0</v>
      </c>
      <c r="V192" s="319">
        <f t="shared" si="114"/>
        <v>0</v>
      </c>
      <c r="W192" s="319">
        <f t="shared" si="114"/>
        <v>0</v>
      </c>
      <c r="X192" s="319">
        <f t="shared" si="114"/>
        <v>0</v>
      </c>
      <c r="Y192" s="319">
        <f t="shared" si="114"/>
        <v>0</v>
      </c>
      <c r="Z192" s="319">
        <f t="shared" si="114"/>
        <v>0</v>
      </c>
      <c r="AA192" s="319">
        <f t="shared" si="114"/>
        <v>0</v>
      </c>
      <c r="AB192" s="319">
        <f t="shared" si="114"/>
        <v>0</v>
      </c>
      <c r="AC192" s="319">
        <f t="shared" si="114"/>
        <v>0</v>
      </c>
      <c r="AD192" s="319">
        <f t="shared" si="114"/>
        <v>0</v>
      </c>
      <c r="AE192" s="319">
        <f t="shared" si="114"/>
        <v>0</v>
      </c>
      <c r="AF192" s="319">
        <f t="shared" si="114"/>
        <v>0</v>
      </c>
      <c r="AG192" s="319">
        <f t="shared" si="114"/>
        <v>0</v>
      </c>
      <c r="AH192" s="319">
        <f t="shared" si="114"/>
        <v>0</v>
      </c>
      <c r="AI192" s="325"/>
      <c r="AJ192" s="326"/>
      <c r="AK192" s="325"/>
      <c r="AL192" s="326"/>
      <c r="AM192" s="326"/>
      <c r="AN192" s="326"/>
      <c r="AO192" s="325"/>
      <c r="AP192" s="327"/>
      <c r="AQ192" s="328"/>
      <c r="AR192" s="328"/>
      <c r="AS192" s="329"/>
      <c r="AT192" s="330"/>
      <c r="AU192" s="326"/>
      <c r="AV192" s="326"/>
      <c r="AW192" s="331"/>
      <c r="AX192" s="331"/>
      <c r="AY192" s="331"/>
      <c r="AZ192" s="331"/>
      <c r="BA192" s="331"/>
      <c r="BB192" s="331"/>
      <c r="BC192" s="331"/>
      <c r="BD192" s="331"/>
      <c r="BE192" s="332"/>
      <c r="BF192" s="330"/>
      <c r="BG192" s="327"/>
      <c r="BH192" s="330"/>
      <c r="BI192" s="328"/>
      <c r="BJ192" s="332"/>
      <c r="BK192" s="330"/>
      <c r="BL192" s="333"/>
      <c r="BM192" s="334"/>
      <c r="BN192" s="334"/>
      <c r="BO192" s="330"/>
      <c r="BP192" s="333"/>
      <c r="BQ192" s="335"/>
      <c r="BR192" s="336"/>
      <c r="BS192" s="336"/>
      <c r="BT192" s="337"/>
      <c r="BU192" s="338"/>
      <c r="BV192" s="339"/>
      <c r="BW192" s="339"/>
      <c r="BX192" s="338"/>
      <c r="BY192" s="340"/>
      <c r="BZ192" s="338"/>
      <c r="CA192" s="341"/>
      <c r="CB192" s="342"/>
      <c r="CC192" s="343"/>
      <c r="CD192" s="339"/>
      <c r="CE192" s="343"/>
      <c r="CF192" s="344"/>
      <c r="CG192" s="345"/>
      <c r="CH192" s="346"/>
      <c r="CI192" s="346"/>
      <c r="CJ192" s="346"/>
      <c r="CK192" s="346"/>
      <c r="CL192" s="346"/>
      <c r="CM192" s="346"/>
      <c r="CN192" s="338"/>
      <c r="CO192" s="346"/>
      <c r="CP192" s="346"/>
      <c r="CQ192" s="346"/>
      <c r="CR192" s="346"/>
      <c r="CS192" s="346"/>
      <c r="CT192" s="346"/>
      <c r="CU192" s="347"/>
      <c r="CV192" s="346"/>
      <c r="CW192" s="346"/>
      <c r="CX192" s="346"/>
      <c r="CY192" s="346"/>
      <c r="CZ192" s="346"/>
      <c r="DA192" s="346"/>
      <c r="DB192" s="346"/>
      <c r="DC192" s="348"/>
      <c r="DD192" s="349"/>
      <c r="DE192" s="346"/>
      <c r="DF192" s="345"/>
      <c r="DG192" s="36"/>
      <c r="DH192" s="346"/>
      <c r="DI192" s="338"/>
      <c r="DJ192" s="338"/>
      <c r="DK192" s="350"/>
      <c r="DN192" s="352"/>
      <c r="DO192" s="353"/>
      <c r="DQ192" s="354"/>
      <c r="DR192" s="337"/>
      <c r="DS192" s="355"/>
      <c r="DT192" s="356"/>
      <c r="DU192" s="337"/>
      <c r="DV192" s="357"/>
      <c r="DW192" s="337"/>
      <c r="DX192" s="358"/>
      <c r="DZ192" s="356"/>
      <c r="EC192" s="358"/>
    </row>
    <row r="193" spans="1:34" s="130" customFormat="1" ht="12" customHeight="1" hidden="1" outlineLevel="1">
      <c r="A193" s="10"/>
      <c r="B193" s="46"/>
      <c r="C193" s="46" t="s">
        <v>704</v>
      </c>
      <c r="D193" s="46"/>
      <c r="E193" s="81">
        <v>1</v>
      </c>
      <c r="F193" s="126">
        <v>18</v>
      </c>
      <c r="G193" s="81"/>
      <c r="H193" s="80">
        <f aca="true" t="shared" si="115" ref="H193:H201">SUM(I193:O193)</f>
        <v>65</v>
      </c>
      <c r="I193" s="263">
        <v>60</v>
      </c>
      <c r="J193" s="48">
        <v>0</v>
      </c>
      <c r="K193" s="48">
        <v>0</v>
      </c>
      <c r="L193" s="48">
        <v>0</v>
      </c>
      <c r="M193" s="48">
        <v>0</v>
      </c>
      <c r="N193" s="48">
        <v>0</v>
      </c>
      <c r="O193" s="83">
        <v>5</v>
      </c>
      <c r="P193" s="83"/>
      <c r="Q193" s="80">
        <f>SUM(R193:X193)</f>
        <v>0</v>
      </c>
      <c r="R193" s="52"/>
      <c r="S193" s="48"/>
      <c r="T193" s="48"/>
      <c r="U193" s="48"/>
      <c r="V193" s="48"/>
      <c r="W193" s="48"/>
      <c r="X193" s="83"/>
      <c r="Y193" s="83"/>
      <c r="Z193" s="80">
        <f aca="true" t="shared" si="116" ref="Z193:Z201">SUM(AA193:AH193)</f>
        <v>0</v>
      </c>
      <c r="AA193" s="52"/>
      <c r="AB193" s="48"/>
      <c r="AC193" s="48"/>
      <c r="AD193" s="48"/>
      <c r="AE193" s="48"/>
      <c r="AF193" s="48"/>
      <c r="AG193" s="83"/>
      <c r="AH193" s="83"/>
    </row>
    <row r="194" spans="1:34" s="130" customFormat="1" ht="12" customHeight="1" hidden="1" outlineLevel="1">
      <c r="A194" s="10"/>
      <c r="B194" s="46"/>
      <c r="C194" s="100" t="s">
        <v>705</v>
      </c>
      <c r="D194" s="100"/>
      <c r="E194" s="81">
        <v>2</v>
      </c>
      <c r="F194" s="126">
        <v>18</v>
      </c>
      <c r="G194" s="81"/>
      <c r="H194" s="80">
        <f t="shared" si="115"/>
        <v>82</v>
      </c>
      <c r="I194" s="263">
        <v>75</v>
      </c>
      <c r="J194" s="48">
        <v>0</v>
      </c>
      <c r="K194" s="48">
        <v>0</v>
      </c>
      <c r="L194" s="48">
        <v>0</v>
      </c>
      <c r="M194" s="48">
        <v>0</v>
      </c>
      <c r="N194" s="48">
        <v>0</v>
      </c>
      <c r="O194" s="83">
        <v>7</v>
      </c>
      <c r="P194" s="83"/>
      <c r="Q194" s="80">
        <f aca="true" t="shared" si="117" ref="Q194:Q201">SUM(R194:X194)</f>
        <v>0</v>
      </c>
      <c r="R194" s="52"/>
      <c r="S194" s="48"/>
      <c r="T194" s="48"/>
      <c r="U194" s="48"/>
      <c r="V194" s="48"/>
      <c r="W194" s="48"/>
      <c r="X194" s="83"/>
      <c r="Y194" s="83"/>
      <c r="Z194" s="80">
        <f t="shared" si="116"/>
        <v>0</v>
      </c>
      <c r="AA194" s="52"/>
      <c r="AB194" s="48"/>
      <c r="AC194" s="48"/>
      <c r="AD194" s="104"/>
      <c r="AE194" s="48"/>
      <c r="AF194" s="48"/>
      <c r="AG194" s="103"/>
      <c r="AH194" s="101"/>
    </row>
    <row r="195" spans="1:34" s="130" customFormat="1" ht="12.75" hidden="1" outlineLevel="1">
      <c r="A195" s="10"/>
      <c r="B195" s="46"/>
      <c r="C195" s="96">
        <f>+H192*0.5</f>
        <v>990</v>
      </c>
      <c r="D195" s="96"/>
      <c r="E195" s="81">
        <v>3</v>
      </c>
      <c r="F195" s="126">
        <v>35</v>
      </c>
      <c r="G195" s="81"/>
      <c r="H195" s="80">
        <f t="shared" si="115"/>
        <v>216</v>
      </c>
      <c r="I195" s="271">
        <v>159</v>
      </c>
      <c r="J195" s="130">
        <v>40</v>
      </c>
      <c r="K195" s="130">
        <v>0</v>
      </c>
      <c r="L195" s="130">
        <v>0</v>
      </c>
      <c r="M195" s="130">
        <v>10</v>
      </c>
      <c r="N195" s="130">
        <v>0</v>
      </c>
      <c r="O195" s="130">
        <v>7</v>
      </c>
      <c r="Q195" s="80">
        <f t="shared" si="117"/>
        <v>0</v>
      </c>
      <c r="R195" s="52"/>
      <c r="S195" s="48"/>
      <c r="T195" s="48"/>
      <c r="U195" s="48"/>
      <c r="V195" s="48"/>
      <c r="W195" s="48"/>
      <c r="X195" s="83"/>
      <c r="Y195" s="83"/>
      <c r="Z195" s="80">
        <f t="shared" si="116"/>
        <v>0</v>
      </c>
      <c r="AA195" s="52"/>
      <c r="AB195" s="48"/>
      <c r="AC195" s="48"/>
      <c r="AD195" s="48"/>
      <c r="AE195" s="48"/>
      <c r="AF195" s="48"/>
      <c r="AG195" s="83"/>
      <c r="AH195" s="83"/>
    </row>
    <row r="196" spans="1:34" s="130" customFormat="1" ht="12" customHeight="1" hidden="1" outlineLevel="1">
      <c r="A196" s="10"/>
      <c r="B196" s="46"/>
      <c r="C196" s="96">
        <f>H192-C195</f>
        <v>990</v>
      </c>
      <c r="D196" s="96"/>
      <c r="E196" s="81">
        <v>4</v>
      </c>
      <c r="F196" s="126">
        <v>57</v>
      </c>
      <c r="G196" s="81"/>
      <c r="H196" s="80">
        <f t="shared" si="115"/>
        <v>233</v>
      </c>
      <c r="I196" s="263">
        <v>195</v>
      </c>
      <c r="J196" s="48">
        <v>30</v>
      </c>
      <c r="K196" s="48">
        <v>0</v>
      </c>
      <c r="L196" s="48">
        <v>0</v>
      </c>
      <c r="M196" s="48">
        <v>0</v>
      </c>
      <c r="N196" s="48">
        <v>0</v>
      </c>
      <c r="O196" s="83">
        <v>8</v>
      </c>
      <c r="P196" s="83"/>
      <c r="Q196" s="80">
        <f t="shared" si="117"/>
        <v>0</v>
      </c>
      <c r="R196" s="52"/>
      <c r="S196" s="48"/>
      <c r="T196" s="48"/>
      <c r="U196" s="48"/>
      <c r="V196" s="48"/>
      <c r="W196" s="48"/>
      <c r="X196" s="83"/>
      <c r="Y196" s="83"/>
      <c r="Z196" s="80">
        <f t="shared" si="116"/>
        <v>0</v>
      </c>
      <c r="AA196" s="52"/>
      <c r="AB196" s="48"/>
      <c r="AC196" s="48"/>
      <c r="AD196" s="48"/>
      <c r="AE196" s="48"/>
      <c r="AF196" s="48"/>
      <c r="AG196" s="83"/>
      <c r="AH196" s="83"/>
    </row>
    <row r="197" spans="1:34" s="130" customFormat="1" ht="12" customHeight="1" hidden="1" outlineLevel="1">
      <c r="A197" s="10"/>
      <c r="B197" s="46"/>
      <c r="C197" s="46" t="s">
        <v>706</v>
      </c>
      <c r="D197" s="46"/>
      <c r="E197" s="81">
        <v>5</v>
      </c>
      <c r="F197" s="126">
        <v>92</v>
      </c>
      <c r="G197" s="81"/>
      <c r="H197" s="80">
        <f t="shared" si="115"/>
        <v>809</v>
      </c>
      <c r="I197" s="263">
        <v>507</v>
      </c>
      <c r="J197" s="48">
        <v>45</v>
      </c>
      <c r="K197" s="48">
        <v>92</v>
      </c>
      <c r="L197" s="48">
        <v>0</v>
      </c>
      <c r="M197" s="48">
        <v>123</v>
      </c>
      <c r="N197" s="48">
        <v>35</v>
      </c>
      <c r="O197" s="83">
        <v>7</v>
      </c>
      <c r="P197" s="83"/>
      <c r="Q197" s="80">
        <f t="shared" si="117"/>
        <v>0</v>
      </c>
      <c r="R197" s="52"/>
      <c r="S197" s="48"/>
      <c r="T197" s="48"/>
      <c r="U197" s="48"/>
      <c r="V197" s="48"/>
      <c r="W197" s="48"/>
      <c r="X197" s="83"/>
      <c r="Y197" s="83"/>
      <c r="Z197" s="80">
        <f t="shared" si="116"/>
        <v>0</v>
      </c>
      <c r="AA197" s="52"/>
      <c r="AB197" s="48"/>
      <c r="AC197" s="48"/>
      <c r="AD197" s="48"/>
      <c r="AE197" s="48"/>
      <c r="AF197" s="48"/>
      <c r="AG197" s="83"/>
      <c r="AH197" s="83"/>
    </row>
    <row r="198" spans="1:34" s="130" customFormat="1" ht="12" customHeight="1" hidden="1" outlineLevel="1">
      <c r="A198" s="10"/>
      <c r="B198" s="46"/>
      <c r="C198" s="256" t="s">
        <v>56</v>
      </c>
      <c r="D198" s="105"/>
      <c r="E198" s="81">
        <v>6</v>
      </c>
      <c r="F198" s="126">
        <v>44</v>
      </c>
      <c r="G198" s="81"/>
      <c r="H198" s="80">
        <f t="shared" si="115"/>
        <v>192</v>
      </c>
      <c r="I198" s="263">
        <v>135</v>
      </c>
      <c r="J198" s="48">
        <v>50</v>
      </c>
      <c r="K198" s="48">
        <v>0</v>
      </c>
      <c r="L198" s="48">
        <v>0</v>
      </c>
      <c r="M198" s="48">
        <v>0</v>
      </c>
      <c r="N198" s="48">
        <v>0</v>
      </c>
      <c r="O198" s="83">
        <v>7</v>
      </c>
      <c r="P198" s="83"/>
      <c r="Q198" s="80">
        <f t="shared" si="117"/>
        <v>0</v>
      </c>
      <c r="R198" s="52"/>
      <c r="S198" s="48"/>
      <c r="T198" s="48"/>
      <c r="U198" s="48"/>
      <c r="V198" s="48"/>
      <c r="W198" s="48"/>
      <c r="X198" s="83"/>
      <c r="Y198" s="83"/>
      <c r="Z198" s="80">
        <f t="shared" si="116"/>
        <v>0</v>
      </c>
      <c r="AA198" s="52"/>
      <c r="AB198" s="48"/>
      <c r="AC198" s="48"/>
      <c r="AD198" s="48"/>
      <c r="AE198" s="48"/>
      <c r="AF198" s="48"/>
      <c r="AG198" s="83"/>
      <c r="AH198" s="83"/>
    </row>
    <row r="199" spans="1:34" s="130" customFormat="1" ht="12" customHeight="1" hidden="1" outlineLevel="1">
      <c r="A199" s="10"/>
      <c r="B199" s="46"/>
      <c r="C199" s="46" t="s">
        <v>57</v>
      </c>
      <c r="D199" s="46"/>
      <c r="E199" s="81">
        <v>7</v>
      </c>
      <c r="F199" s="126">
        <v>44</v>
      </c>
      <c r="G199" s="81"/>
      <c r="H199" s="80">
        <f t="shared" si="115"/>
        <v>202</v>
      </c>
      <c r="I199" s="263">
        <v>125</v>
      </c>
      <c r="J199" s="48">
        <v>60</v>
      </c>
      <c r="K199" s="48">
        <v>0</v>
      </c>
      <c r="L199" s="48">
        <v>0</v>
      </c>
      <c r="M199" s="48">
        <v>0</v>
      </c>
      <c r="N199" s="48">
        <v>10</v>
      </c>
      <c r="O199" s="83">
        <v>7</v>
      </c>
      <c r="P199" s="83"/>
      <c r="Q199" s="80">
        <f t="shared" si="117"/>
        <v>0</v>
      </c>
      <c r="R199" s="52"/>
      <c r="S199" s="48"/>
      <c r="T199" s="48"/>
      <c r="U199" s="48"/>
      <c r="V199" s="48"/>
      <c r="W199" s="48"/>
      <c r="X199" s="83"/>
      <c r="Y199" s="83"/>
      <c r="Z199" s="80">
        <f t="shared" si="116"/>
        <v>0</v>
      </c>
      <c r="AA199" s="52"/>
      <c r="AB199" s="48"/>
      <c r="AC199" s="48"/>
      <c r="AD199" s="48"/>
      <c r="AE199" s="48"/>
      <c r="AF199" s="48"/>
      <c r="AG199" s="83"/>
      <c r="AH199" s="83"/>
    </row>
    <row r="200" spans="1:34" s="130" customFormat="1" ht="12" customHeight="1" hidden="1" outlineLevel="1">
      <c r="A200" s="10"/>
      <c r="B200" s="46"/>
      <c r="C200" s="255" t="s">
        <v>58</v>
      </c>
      <c r="D200" s="46"/>
      <c r="E200" s="81">
        <v>8</v>
      </c>
      <c r="F200" s="126">
        <v>23</v>
      </c>
      <c r="G200" s="81"/>
      <c r="H200" s="80">
        <f t="shared" si="115"/>
        <v>86</v>
      </c>
      <c r="I200" s="263">
        <v>62</v>
      </c>
      <c r="J200" s="48">
        <v>19</v>
      </c>
      <c r="K200" s="48">
        <v>0</v>
      </c>
      <c r="L200" s="48">
        <v>0</v>
      </c>
      <c r="M200" s="48">
        <v>0</v>
      </c>
      <c r="N200" s="48">
        <v>0</v>
      </c>
      <c r="O200" s="83">
        <v>5</v>
      </c>
      <c r="P200" s="83"/>
      <c r="Q200" s="80">
        <f t="shared" si="117"/>
        <v>0</v>
      </c>
      <c r="R200" s="52"/>
      <c r="S200" s="48"/>
      <c r="T200" s="48"/>
      <c r="U200" s="48"/>
      <c r="V200" s="48"/>
      <c r="W200" s="48"/>
      <c r="X200" s="83"/>
      <c r="Y200" s="83"/>
      <c r="Z200" s="80">
        <f t="shared" si="116"/>
        <v>0</v>
      </c>
      <c r="AA200" s="52"/>
      <c r="AB200" s="48"/>
      <c r="AC200" s="48"/>
      <c r="AD200" s="48"/>
      <c r="AE200" s="48"/>
      <c r="AF200" s="48"/>
      <c r="AG200" s="83"/>
      <c r="AH200" s="83"/>
    </row>
    <row r="201" spans="1:34" s="130" customFormat="1" ht="12" customHeight="1" hidden="1" outlineLevel="1">
      <c r="A201" s="10"/>
      <c r="B201" s="46"/>
      <c r="C201" s="255" t="s">
        <v>59</v>
      </c>
      <c r="D201" s="46"/>
      <c r="E201" s="81">
        <v>9</v>
      </c>
      <c r="F201" s="126">
        <v>41</v>
      </c>
      <c r="G201" s="81"/>
      <c r="H201" s="80">
        <f t="shared" si="115"/>
        <v>95</v>
      </c>
      <c r="I201" s="263">
        <v>52</v>
      </c>
      <c r="J201" s="48">
        <v>26</v>
      </c>
      <c r="K201" s="48">
        <v>0</v>
      </c>
      <c r="L201" s="48">
        <v>0</v>
      </c>
      <c r="M201" s="48">
        <v>0</v>
      </c>
      <c r="N201" s="48">
        <v>0</v>
      </c>
      <c r="O201" s="83">
        <v>17</v>
      </c>
      <c r="P201" s="83"/>
      <c r="Q201" s="80">
        <f t="shared" si="117"/>
        <v>0</v>
      </c>
      <c r="R201" s="52"/>
      <c r="S201" s="40"/>
      <c r="T201" s="48"/>
      <c r="U201" s="48"/>
      <c r="V201" s="48"/>
      <c r="W201" s="48"/>
      <c r="X201" s="83"/>
      <c r="Y201" s="83"/>
      <c r="Z201" s="80">
        <f t="shared" si="116"/>
        <v>0</v>
      </c>
      <c r="AA201" s="52"/>
      <c r="AB201" s="40"/>
      <c r="AC201" s="48"/>
      <c r="AD201" s="48"/>
      <c r="AE201" s="48"/>
      <c r="AF201" s="48"/>
      <c r="AG201" s="103"/>
      <c r="AH201" s="101"/>
    </row>
    <row r="202" spans="1:34" s="129" customFormat="1" ht="12" customHeight="1" hidden="1" outlineLevel="1">
      <c r="A202" s="98"/>
      <c r="B202" s="46"/>
      <c r="C202" s="46"/>
      <c r="D202" s="46"/>
      <c r="E202" s="81" t="s">
        <v>471</v>
      </c>
      <c r="F202" s="126"/>
      <c r="G202" s="81"/>
      <c r="H202" s="99">
        <f aca="true" t="shared" si="118" ref="H202:P202">H192/$H$192</f>
        <v>1</v>
      </c>
      <c r="I202" s="99">
        <f t="shared" si="118"/>
        <v>0.6919191919191919</v>
      </c>
      <c r="J202" s="99">
        <f t="shared" si="118"/>
        <v>0.13636363636363635</v>
      </c>
      <c r="K202" s="99">
        <f t="shared" si="118"/>
        <v>0.046464646464646465</v>
      </c>
      <c r="L202" s="99">
        <f t="shared" si="118"/>
        <v>0</v>
      </c>
      <c r="M202" s="99">
        <f t="shared" si="118"/>
        <v>0.06717171717171717</v>
      </c>
      <c r="N202" s="99">
        <f t="shared" si="118"/>
        <v>0.022727272727272728</v>
      </c>
      <c r="O202" s="99">
        <f t="shared" si="118"/>
        <v>0.03535353535353535</v>
      </c>
      <c r="P202" s="99">
        <f t="shared" si="118"/>
        <v>0</v>
      </c>
      <c r="Q202" s="99" t="e">
        <f aca="true" t="shared" si="119" ref="Q202:Y202">Q192/$Q$192</f>
        <v>#DIV/0!</v>
      </c>
      <c r="R202" s="99" t="e">
        <f t="shared" si="119"/>
        <v>#DIV/0!</v>
      </c>
      <c r="S202" s="99" t="e">
        <f t="shared" si="119"/>
        <v>#DIV/0!</v>
      </c>
      <c r="T202" s="99" t="e">
        <f t="shared" si="119"/>
        <v>#DIV/0!</v>
      </c>
      <c r="U202" s="99" t="e">
        <f t="shared" si="119"/>
        <v>#DIV/0!</v>
      </c>
      <c r="V202" s="99" t="e">
        <f t="shared" si="119"/>
        <v>#DIV/0!</v>
      </c>
      <c r="W202" s="99" t="e">
        <f t="shared" si="119"/>
        <v>#DIV/0!</v>
      </c>
      <c r="X202" s="99" t="e">
        <f t="shared" si="119"/>
        <v>#DIV/0!</v>
      </c>
      <c r="Y202" s="99" t="e">
        <f t="shared" si="119"/>
        <v>#DIV/0!</v>
      </c>
      <c r="Z202" s="99" t="e">
        <f aca="true" t="shared" si="120" ref="Z202:AH202">Z192/$Z$192</f>
        <v>#DIV/0!</v>
      </c>
      <c r="AA202" s="99" t="e">
        <f t="shared" si="120"/>
        <v>#DIV/0!</v>
      </c>
      <c r="AB202" s="99" t="e">
        <f t="shared" si="120"/>
        <v>#DIV/0!</v>
      </c>
      <c r="AC202" s="99" t="e">
        <f t="shared" si="120"/>
        <v>#DIV/0!</v>
      </c>
      <c r="AD202" s="99" t="e">
        <f t="shared" si="120"/>
        <v>#DIV/0!</v>
      </c>
      <c r="AE202" s="99" t="e">
        <f t="shared" si="120"/>
        <v>#DIV/0!</v>
      </c>
      <c r="AF202" s="99" t="e">
        <f t="shared" si="120"/>
        <v>#DIV/0!</v>
      </c>
      <c r="AG202" s="99" t="e">
        <f t="shared" si="120"/>
        <v>#DIV/0!</v>
      </c>
      <c r="AH202" s="99" t="e">
        <f t="shared" si="120"/>
        <v>#DIV/0!</v>
      </c>
    </row>
    <row r="203" spans="1:34" s="129" customFormat="1" ht="12" customHeight="1" hidden="1" outlineLevel="1">
      <c r="A203" s="98"/>
      <c r="B203" s="46"/>
      <c r="C203" s="46"/>
      <c r="D203" s="46"/>
      <c r="E203" s="81" t="s">
        <v>472</v>
      </c>
      <c r="F203" s="126"/>
      <c r="G203" s="81"/>
      <c r="H203" s="99"/>
      <c r="I203" s="261"/>
      <c r="J203" s="99"/>
      <c r="K203" s="99"/>
      <c r="L203" s="99"/>
      <c r="M203" s="99"/>
      <c r="N203" s="99"/>
      <c r="O203" s="99"/>
      <c r="P203" s="99"/>
      <c r="Q203" s="65">
        <f>Q192-H192</f>
        <v>-1980</v>
      </c>
      <c r="R203" s="65">
        <f aca="true" t="shared" si="121" ref="R203:Y203">R192-I192</f>
        <v>-1370</v>
      </c>
      <c r="S203" s="65">
        <f t="shared" si="121"/>
        <v>-270</v>
      </c>
      <c r="T203" s="65">
        <f t="shared" si="121"/>
        <v>-92</v>
      </c>
      <c r="U203" s="65">
        <f t="shared" si="121"/>
        <v>0</v>
      </c>
      <c r="V203" s="65">
        <f t="shared" si="121"/>
        <v>-133</v>
      </c>
      <c r="W203" s="65">
        <f t="shared" si="121"/>
        <v>-45</v>
      </c>
      <c r="X203" s="65">
        <f t="shared" si="121"/>
        <v>-70</v>
      </c>
      <c r="Y203" s="65">
        <f t="shared" si="121"/>
        <v>0</v>
      </c>
      <c r="Z203" s="65">
        <f aca="true" t="shared" si="122" ref="Z203:AH203">Z192-Q192</f>
        <v>0</v>
      </c>
      <c r="AA203" s="65">
        <f t="shared" si="122"/>
        <v>0</v>
      </c>
      <c r="AB203" s="65">
        <f t="shared" si="122"/>
        <v>0</v>
      </c>
      <c r="AC203" s="65">
        <f t="shared" si="122"/>
        <v>0</v>
      </c>
      <c r="AD203" s="65">
        <f t="shared" si="122"/>
        <v>0</v>
      </c>
      <c r="AE203" s="65">
        <f t="shared" si="122"/>
        <v>0</v>
      </c>
      <c r="AF203" s="65">
        <f t="shared" si="122"/>
        <v>0</v>
      </c>
      <c r="AG203" s="65">
        <f t="shared" si="122"/>
        <v>0</v>
      </c>
      <c r="AH203" s="65">
        <f t="shared" si="122"/>
        <v>0</v>
      </c>
    </row>
    <row r="204" spans="1:34" s="130" customFormat="1" ht="12" customHeight="1" hidden="1" outlineLevel="1">
      <c r="A204" s="10"/>
      <c r="B204" s="46"/>
      <c r="C204" s="46"/>
      <c r="D204" s="46"/>
      <c r="E204" s="43" t="s">
        <v>473</v>
      </c>
      <c r="F204" s="44"/>
      <c r="G204" s="43"/>
      <c r="I204" s="257">
        <f>+I192/F192</f>
        <v>3.682795698924731</v>
      </c>
      <c r="J204" s="49"/>
      <c r="K204" s="49"/>
      <c r="L204" s="49"/>
      <c r="M204" s="49"/>
      <c r="N204" s="49"/>
      <c r="O204" s="49"/>
      <c r="P204" s="49"/>
      <c r="Q204" s="49"/>
      <c r="R204" s="49"/>
      <c r="S204" s="84"/>
      <c r="T204" s="49"/>
      <c r="U204" s="49"/>
      <c r="V204" s="49"/>
      <c r="W204" s="49"/>
      <c r="X204" s="49"/>
      <c r="Y204" s="49"/>
      <c r="Z204" s="90"/>
      <c r="AA204" s="90"/>
      <c r="AB204" s="90"/>
      <c r="AC204" s="90"/>
      <c r="AD204" s="90"/>
      <c r="AE204" s="90"/>
      <c r="AF204" s="90"/>
      <c r="AG204" s="90"/>
      <c r="AH204" s="90"/>
    </row>
    <row r="205" spans="1:133" s="56" customFormat="1" ht="12" customHeight="1" collapsed="1">
      <c r="A205" s="88">
        <v>25</v>
      </c>
      <c r="B205" s="106" t="s">
        <v>482</v>
      </c>
      <c r="C205" s="106" t="s">
        <v>703</v>
      </c>
      <c r="D205" s="106"/>
      <c r="E205" s="102"/>
      <c r="F205" s="115">
        <f>SUM(F206:F214)</f>
        <v>304</v>
      </c>
      <c r="G205" s="115">
        <f>SUM(G206:G214)</f>
        <v>364</v>
      </c>
      <c r="H205" s="111">
        <f aca="true" t="shared" si="123" ref="H205:P205">SUM(H206:H214)</f>
        <v>2090</v>
      </c>
      <c r="I205" s="259">
        <f t="shared" si="123"/>
        <v>1260</v>
      </c>
      <c r="J205" s="111">
        <f t="shared" si="123"/>
        <v>150</v>
      </c>
      <c r="K205" s="111">
        <f t="shared" si="123"/>
        <v>275</v>
      </c>
      <c r="L205" s="111">
        <f t="shared" si="123"/>
        <v>0</v>
      </c>
      <c r="M205" s="111">
        <f t="shared" si="123"/>
        <v>250</v>
      </c>
      <c r="N205" s="111">
        <f t="shared" si="123"/>
        <v>65</v>
      </c>
      <c r="O205" s="111">
        <f t="shared" si="123"/>
        <v>90</v>
      </c>
      <c r="P205" s="111">
        <f t="shared" si="123"/>
        <v>0</v>
      </c>
      <c r="Q205" s="111">
        <f aca="true" t="shared" si="124" ref="Q205:AM205">SUM(Q206:Q214)</f>
        <v>2090</v>
      </c>
      <c r="R205" s="111">
        <f t="shared" si="124"/>
        <v>1150</v>
      </c>
      <c r="S205" s="111">
        <f t="shared" si="124"/>
        <v>280</v>
      </c>
      <c r="T205" s="111">
        <f t="shared" si="124"/>
        <v>205</v>
      </c>
      <c r="U205" s="111">
        <f t="shared" si="124"/>
        <v>0</v>
      </c>
      <c r="V205" s="111">
        <f t="shared" si="124"/>
        <v>250</v>
      </c>
      <c r="W205" s="111">
        <f t="shared" si="124"/>
        <v>105</v>
      </c>
      <c r="X205" s="111">
        <f t="shared" si="124"/>
        <v>100</v>
      </c>
      <c r="Y205" s="111">
        <f t="shared" si="124"/>
        <v>0</v>
      </c>
      <c r="Z205" s="111">
        <f t="shared" si="124"/>
        <v>2074.4790000000003</v>
      </c>
      <c r="AA205" s="111">
        <f t="shared" si="124"/>
        <v>1140.479</v>
      </c>
      <c r="AB205" s="111">
        <f t="shared" si="124"/>
        <v>275</v>
      </c>
      <c r="AC205" s="111">
        <f t="shared" si="124"/>
        <v>205</v>
      </c>
      <c r="AD205" s="111">
        <f t="shared" si="124"/>
        <v>0</v>
      </c>
      <c r="AE205" s="111">
        <f t="shared" si="124"/>
        <v>250</v>
      </c>
      <c r="AF205" s="111">
        <f t="shared" si="124"/>
        <v>105</v>
      </c>
      <c r="AG205" s="111">
        <f t="shared" si="124"/>
        <v>99</v>
      </c>
      <c r="AH205" s="111">
        <f t="shared" si="124"/>
        <v>104</v>
      </c>
      <c r="AI205" s="111">
        <f>SUM(AJ205:AQ205)</f>
        <v>2074.479</v>
      </c>
      <c r="AJ205" s="111">
        <v>1220.829</v>
      </c>
      <c r="AK205" s="111">
        <v>280</v>
      </c>
      <c r="AL205" s="111">
        <v>85.35</v>
      </c>
      <c r="AM205" s="111">
        <f t="shared" si="124"/>
        <v>0</v>
      </c>
      <c r="AN205" s="111">
        <v>75.3</v>
      </c>
      <c r="AO205" s="316">
        <f>285+26</f>
        <v>311</v>
      </c>
      <c r="AP205" s="316">
        <v>102</v>
      </c>
      <c r="AQ205" s="111"/>
      <c r="AR205" s="57"/>
      <c r="AS205" s="65"/>
      <c r="AT205" s="59"/>
      <c r="AU205" s="41"/>
      <c r="AV205" s="41"/>
      <c r="AW205" s="11"/>
      <c r="AX205" s="11"/>
      <c r="AY205" s="11"/>
      <c r="AZ205" s="11"/>
      <c r="BA205" s="11"/>
      <c r="BB205" s="11"/>
      <c r="BC205" s="11"/>
      <c r="BD205" s="11"/>
      <c r="BE205" s="60"/>
      <c r="BF205" s="59"/>
      <c r="BG205" s="58"/>
      <c r="BH205" s="59"/>
      <c r="BI205" s="57"/>
      <c r="BJ205" s="60"/>
      <c r="BK205" s="59"/>
      <c r="BL205" s="93"/>
      <c r="BM205" s="61"/>
      <c r="BN205" s="61"/>
      <c r="BO205" s="59"/>
      <c r="BP205" s="18"/>
      <c r="BQ205" s="39"/>
      <c r="BR205" s="12"/>
      <c r="BS205" s="12"/>
      <c r="BT205" s="32"/>
      <c r="BU205" s="14"/>
      <c r="BV205" s="28"/>
      <c r="BW205" s="28"/>
      <c r="BX205" s="14"/>
      <c r="BY205" s="29"/>
      <c r="BZ205" s="14"/>
      <c r="CA205" s="16"/>
      <c r="CB205" s="31"/>
      <c r="CC205" s="13"/>
      <c r="CD205" s="28"/>
      <c r="CE205" s="13"/>
      <c r="CF205" s="17"/>
      <c r="CG205" s="5"/>
      <c r="CH205" s="22"/>
      <c r="CI205" s="22"/>
      <c r="CJ205" s="22"/>
      <c r="CK205" s="22"/>
      <c r="CL205" s="22"/>
      <c r="CM205" s="22"/>
      <c r="CN205" s="14"/>
      <c r="CO205" s="22"/>
      <c r="CP205" s="22"/>
      <c r="CQ205" s="22"/>
      <c r="CR205" s="22"/>
      <c r="CS205" s="22"/>
      <c r="CT205" s="22"/>
      <c r="CU205" s="30"/>
      <c r="CV205" s="22"/>
      <c r="CW205" s="22"/>
      <c r="CX205" s="22"/>
      <c r="CY205" s="22"/>
      <c r="CZ205" s="22"/>
      <c r="DA205" s="22"/>
      <c r="DB205" s="22"/>
      <c r="DC205" s="35"/>
      <c r="DD205" s="37"/>
      <c r="DE205" s="22"/>
      <c r="DF205" s="5"/>
      <c r="DG205" s="36"/>
      <c r="DH205" s="22"/>
      <c r="DI205" s="14"/>
      <c r="DJ205" s="14"/>
      <c r="DK205" s="23"/>
      <c r="DL205" s="19"/>
      <c r="DM205" s="19"/>
      <c r="DN205" s="15"/>
      <c r="DO205" s="131"/>
      <c r="DQ205" s="74"/>
      <c r="DR205" s="94"/>
      <c r="DS205" s="132"/>
      <c r="DT205" s="75"/>
      <c r="DU205" s="94"/>
      <c r="DV205" s="133"/>
      <c r="DW205" s="94"/>
      <c r="DX205" s="62"/>
      <c r="DZ205" s="75"/>
      <c r="EC205" s="62"/>
    </row>
    <row r="206" spans="1:42" s="130" customFormat="1" ht="12" customHeight="1" hidden="1" outlineLevel="1">
      <c r="A206" s="10"/>
      <c r="B206" s="46"/>
      <c r="C206" s="186" t="s">
        <v>704</v>
      </c>
      <c r="D206" s="107"/>
      <c r="E206" s="81">
        <v>1</v>
      </c>
      <c r="F206" s="196">
        <v>36</v>
      </c>
      <c r="G206" s="214">
        <f>36+6+4</f>
        <v>46</v>
      </c>
      <c r="H206" s="80">
        <f>SUM(I206:O206)</f>
        <v>150</v>
      </c>
      <c r="I206" s="263">
        <v>130</v>
      </c>
      <c r="J206" s="108">
        <v>20</v>
      </c>
      <c r="K206" s="108"/>
      <c r="L206" s="108"/>
      <c r="M206" s="108"/>
      <c r="N206" s="108"/>
      <c r="O206" s="109">
        <v>0</v>
      </c>
      <c r="P206" s="109"/>
      <c r="Q206" s="112">
        <f>SUM(R206:X206)</f>
        <v>186.97</v>
      </c>
      <c r="R206" s="206">
        <v>98.97</v>
      </c>
      <c r="S206" s="206">
        <v>60</v>
      </c>
      <c r="T206" s="206"/>
      <c r="U206" s="206"/>
      <c r="V206" s="206">
        <v>21</v>
      </c>
      <c r="W206" s="206"/>
      <c r="X206" s="206">
        <v>7</v>
      </c>
      <c r="Y206" s="112"/>
      <c r="Z206" s="112">
        <f>SUM(AA206:AG206)</f>
        <v>186.97</v>
      </c>
      <c r="AA206" s="206">
        <v>98.97</v>
      </c>
      <c r="AB206" s="206">
        <v>60</v>
      </c>
      <c r="AC206" s="206"/>
      <c r="AD206" s="206"/>
      <c r="AE206" s="206">
        <v>21</v>
      </c>
      <c r="AF206" s="206"/>
      <c r="AG206" s="206">
        <v>7</v>
      </c>
      <c r="AH206" s="112"/>
      <c r="AP206" s="514">
        <f>AP205-128</f>
        <v>-26</v>
      </c>
    </row>
    <row r="207" spans="1:36" s="130" customFormat="1" ht="12" customHeight="1" hidden="1" outlineLevel="1">
      <c r="A207" s="10"/>
      <c r="B207" s="46"/>
      <c r="C207" s="188" t="s">
        <v>705</v>
      </c>
      <c r="D207" s="100"/>
      <c r="E207" s="81">
        <v>2</v>
      </c>
      <c r="F207" s="196">
        <v>30</v>
      </c>
      <c r="G207" s="214">
        <f>33+7</f>
        <v>40</v>
      </c>
      <c r="H207" s="80">
        <f aca="true" t="shared" si="125" ref="H207:H214">SUM(I207:O207)</f>
        <v>120</v>
      </c>
      <c r="I207" s="262">
        <v>120</v>
      </c>
      <c r="J207" s="108"/>
      <c r="K207" s="108"/>
      <c r="L207" s="108"/>
      <c r="M207" s="108"/>
      <c r="N207" s="108"/>
      <c r="O207" s="109">
        <v>0</v>
      </c>
      <c r="P207" s="109"/>
      <c r="Q207" s="112">
        <f aca="true" t="shared" si="126" ref="Q207:Q214">SUM(R207:X207)</f>
        <v>160.94</v>
      </c>
      <c r="R207" s="108">
        <v>155.94</v>
      </c>
      <c r="S207" s="108">
        <v>5</v>
      </c>
      <c r="T207" s="108"/>
      <c r="U207" s="108"/>
      <c r="V207" s="108"/>
      <c r="W207" s="108"/>
      <c r="X207" s="109"/>
      <c r="Y207" s="109"/>
      <c r="Z207" s="112">
        <f aca="true" t="shared" si="127" ref="Z207:Z214">SUM(AA207:AG207)</f>
        <v>160.941</v>
      </c>
      <c r="AA207" s="108">
        <v>155.941</v>
      </c>
      <c r="AB207" s="108">
        <v>5</v>
      </c>
      <c r="AC207" s="108"/>
      <c r="AD207" s="108"/>
      <c r="AE207" s="108"/>
      <c r="AF207" s="108"/>
      <c r="AG207" s="109"/>
      <c r="AH207" s="109"/>
      <c r="AJ207" s="814">
        <f>(AA205-AJ205)/AA205</f>
        <v>-0.07045285358169673</v>
      </c>
    </row>
    <row r="208" spans="1:43" s="130" customFormat="1" ht="12" customHeight="1" hidden="1" outlineLevel="1">
      <c r="A208" s="10"/>
      <c r="B208" s="46"/>
      <c r="C208" s="216">
        <f>Z205*0.65</f>
        <v>1348.4113500000003</v>
      </c>
      <c r="D208" s="96"/>
      <c r="E208" s="81">
        <v>3</v>
      </c>
      <c r="F208" s="196">
        <v>33</v>
      </c>
      <c r="G208" s="214">
        <f>20+14+3</f>
        <v>37</v>
      </c>
      <c r="H208" s="80">
        <f t="shared" si="125"/>
        <v>150</v>
      </c>
      <c r="I208" s="262">
        <v>110</v>
      </c>
      <c r="J208" s="108">
        <v>30</v>
      </c>
      <c r="K208" s="108"/>
      <c r="L208" s="108"/>
      <c r="M208" s="108"/>
      <c r="N208" s="108"/>
      <c r="O208" s="109">
        <v>10</v>
      </c>
      <c r="P208" s="109"/>
      <c r="Q208" s="112">
        <f t="shared" si="126"/>
        <v>155.066</v>
      </c>
      <c r="R208" s="108">
        <v>101.066</v>
      </c>
      <c r="S208" s="108">
        <v>40</v>
      </c>
      <c r="T208" s="108"/>
      <c r="U208" s="108"/>
      <c r="V208" s="108">
        <v>10</v>
      </c>
      <c r="W208" s="108"/>
      <c r="X208" s="109">
        <v>4</v>
      </c>
      <c r="Y208" s="109"/>
      <c r="Z208" s="112">
        <f t="shared" si="127"/>
        <v>155.066</v>
      </c>
      <c r="AA208" s="108">
        <v>101.066</v>
      </c>
      <c r="AB208" s="108">
        <v>40</v>
      </c>
      <c r="AC208" s="108"/>
      <c r="AD208" s="108"/>
      <c r="AE208" s="108">
        <v>10</v>
      </c>
      <c r="AF208" s="108"/>
      <c r="AG208" s="109">
        <v>4</v>
      </c>
      <c r="AH208" s="109"/>
      <c r="AJ208" s="130">
        <f>AA205+(AA205*0.2)</f>
        <v>1368.5748</v>
      </c>
      <c r="AK208" s="130">
        <f aca="true" t="shared" si="128" ref="AK208:AQ208">AB205+(AB205*0.2)</f>
        <v>330</v>
      </c>
      <c r="AL208" s="129">
        <f t="shared" si="128"/>
        <v>246</v>
      </c>
      <c r="AM208" s="130">
        <f t="shared" si="128"/>
        <v>0</v>
      </c>
      <c r="AN208" s="129">
        <f t="shared" si="128"/>
        <v>300</v>
      </c>
      <c r="AO208" s="129">
        <f t="shared" si="128"/>
        <v>126</v>
      </c>
      <c r="AP208" s="130">
        <f t="shared" si="128"/>
        <v>118.8</v>
      </c>
      <c r="AQ208" s="130">
        <f t="shared" si="128"/>
        <v>124.8</v>
      </c>
    </row>
    <row r="209" spans="1:43" s="130" customFormat="1" ht="12" customHeight="1" hidden="1" outlineLevel="1">
      <c r="A209" s="10"/>
      <c r="B209" s="46"/>
      <c r="C209" s="216">
        <f>Z205-C208</f>
        <v>726.06765</v>
      </c>
      <c r="D209" s="96"/>
      <c r="E209" s="81">
        <v>4</v>
      </c>
      <c r="F209" s="196">
        <v>35</v>
      </c>
      <c r="G209" s="214">
        <f>4+32+6</f>
        <v>42</v>
      </c>
      <c r="H209" s="80">
        <f t="shared" si="125"/>
        <v>195</v>
      </c>
      <c r="I209" s="262">
        <v>160</v>
      </c>
      <c r="J209" s="108">
        <v>30</v>
      </c>
      <c r="K209" s="108"/>
      <c r="L209" s="108"/>
      <c r="M209" s="108"/>
      <c r="N209" s="108"/>
      <c r="O209" s="109">
        <v>5</v>
      </c>
      <c r="P209" s="109"/>
      <c r="Q209" s="112">
        <f t="shared" si="126"/>
        <v>230.886</v>
      </c>
      <c r="R209" s="108">
        <v>155.886</v>
      </c>
      <c r="S209" s="108">
        <v>70</v>
      </c>
      <c r="T209" s="108"/>
      <c r="U209" s="108"/>
      <c r="V209" s="108"/>
      <c r="W209" s="108"/>
      <c r="X209" s="109">
        <v>5</v>
      </c>
      <c r="Y209" s="109"/>
      <c r="Z209" s="112">
        <f t="shared" si="127"/>
        <v>230.886</v>
      </c>
      <c r="AA209" s="108">
        <v>155.886</v>
      </c>
      <c r="AB209" s="108">
        <v>70</v>
      </c>
      <c r="AC209" s="108"/>
      <c r="AD209" s="108"/>
      <c r="AE209" s="108"/>
      <c r="AF209" s="108"/>
      <c r="AG209" s="109">
        <v>5</v>
      </c>
      <c r="AH209" s="109"/>
      <c r="AJ209" s="130">
        <f>AA205-(AA205*0.2)</f>
        <v>912.3832</v>
      </c>
      <c r="AK209" s="130">
        <f aca="true" t="shared" si="129" ref="AK209:AQ209">AB205-(AB205*0.2)</f>
        <v>220</v>
      </c>
      <c r="AL209" s="129">
        <f t="shared" si="129"/>
        <v>164</v>
      </c>
      <c r="AM209" s="130">
        <f t="shared" si="129"/>
        <v>0</v>
      </c>
      <c r="AN209" s="129">
        <f t="shared" si="129"/>
        <v>200</v>
      </c>
      <c r="AO209" s="129">
        <f t="shared" si="129"/>
        <v>84</v>
      </c>
      <c r="AP209" s="130">
        <f t="shared" si="129"/>
        <v>79.2</v>
      </c>
      <c r="AQ209" s="130">
        <f t="shared" si="129"/>
        <v>83.2</v>
      </c>
    </row>
    <row r="210" spans="1:34" s="130" customFormat="1" ht="12" customHeight="1" hidden="1" outlineLevel="1">
      <c r="A210" s="10"/>
      <c r="B210" s="46"/>
      <c r="C210" s="186" t="s">
        <v>706</v>
      </c>
      <c r="D210" s="46"/>
      <c r="E210" s="81">
        <v>5</v>
      </c>
      <c r="F210" s="196">
        <v>62</v>
      </c>
      <c r="G210" s="214">
        <f>2+60+14</f>
        <v>76</v>
      </c>
      <c r="H210" s="80">
        <f t="shared" si="125"/>
        <v>920</v>
      </c>
      <c r="I210" s="262">
        <v>310</v>
      </c>
      <c r="J210" s="108">
        <v>20</v>
      </c>
      <c r="K210" s="108">
        <v>275</v>
      </c>
      <c r="L210" s="108"/>
      <c r="M210" s="108">
        <v>250</v>
      </c>
      <c r="N210" s="108">
        <v>50</v>
      </c>
      <c r="O210" s="109">
        <v>15</v>
      </c>
      <c r="P210" s="109"/>
      <c r="Q210" s="112">
        <f t="shared" si="126"/>
        <v>847.7149999999999</v>
      </c>
      <c r="R210" s="198">
        <v>290.715</v>
      </c>
      <c r="S210" s="198">
        <v>20</v>
      </c>
      <c r="T210" s="198">
        <v>205</v>
      </c>
      <c r="U210" s="198"/>
      <c r="V210" s="198">
        <v>219</v>
      </c>
      <c r="W210" s="198">
        <v>105</v>
      </c>
      <c r="X210" s="199">
        <v>8</v>
      </c>
      <c r="Y210" s="199"/>
      <c r="Z210" s="112">
        <f t="shared" si="127"/>
        <v>847.7149999999999</v>
      </c>
      <c r="AA210" s="198">
        <v>290.715</v>
      </c>
      <c r="AB210" s="198">
        <v>20</v>
      </c>
      <c r="AC210" s="198">
        <v>205</v>
      </c>
      <c r="AD210" s="198"/>
      <c r="AE210" s="198">
        <v>219</v>
      </c>
      <c r="AF210" s="198">
        <v>105</v>
      </c>
      <c r="AG210" s="199">
        <v>8</v>
      </c>
      <c r="AH210" s="199"/>
    </row>
    <row r="211" spans="1:34" s="130" customFormat="1" ht="12" customHeight="1" hidden="1" outlineLevel="1">
      <c r="A211" s="10"/>
      <c r="B211" s="46"/>
      <c r="C211" s="190" t="s">
        <v>707</v>
      </c>
      <c r="D211" s="105"/>
      <c r="E211" s="81">
        <v>6</v>
      </c>
      <c r="F211" s="196">
        <v>18</v>
      </c>
      <c r="G211" s="214">
        <f>2+16+4</f>
        <v>22</v>
      </c>
      <c r="H211" s="80">
        <f t="shared" si="125"/>
        <v>130</v>
      </c>
      <c r="I211" s="262">
        <v>100</v>
      </c>
      <c r="J211" s="108">
        <v>10</v>
      </c>
      <c r="K211" s="108"/>
      <c r="L211" s="108"/>
      <c r="M211" s="108"/>
      <c r="N211" s="108">
        <v>5</v>
      </c>
      <c r="O211" s="109">
        <v>15</v>
      </c>
      <c r="P211" s="109"/>
      <c r="Q211" s="112">
        <f t="shared" si="126"/>
        <v>93.854</v>
      </c>
      <c r="R211" s="108">
        <v>80.854</v>
      </c>
      <c r="S211" s="108"/>
      <c r="T211" s="108"/>
      <c r="U211" s="108"/>
      <c r="V211" s="108"/>
      <c r="W211" s="108"/>
      <c r="X211" s="109">
        <v>13</v>
      </c>
      <c r="Y211" s="109"/>
      <c r="Z211" s="112">
        <f t="shared" si="127"/>
        <v>93.854</v>
      </c>
      <c r="AA211" s="108">
        <v>80.854</v>
      </c>
      <c r="AB211" s="108"/>
      <c r="AC211" s="108"/>
      <c r="AD211" s="108"/>
      <c r="AE211" s="108"/>
      <c r="AF211" s="108"/>
      <c r="AG211" s="109">
        <v>13</v>
      </c>
      <c r="AH211" s="109"/>
    </row>
    <row r="212" spans="1:34" s="130" customFormat="1" ht="12" customHeight="1" hidden="1" outlineLevel="1">
      <c r="A212" s="10"/>
      <c r="B212" s="46"/>
      <c r="C212" s="186" t="s">
        <v>708</v>
      </c>
      <c r="D212" s="46"/>
      <c r="E212" s="81">
        <v>7</v>
      </c>
      <c r="F212" s="196">
        <v>40</v>
      </c>
      <c r="G212" s="214">
        <f>18+10+16</f>
        <v>44</v>
      </c>
      <c r="H212" s="80">
        <f t="shared" si="125"/>
        <v>200</v>
      </c>
      <c r="I212" s="262">
        <v>140</v>
      </c>
      <c r="J212" s="108">
        <v>35</v>
      </c>
      <c r="K212" s="108"/>
      <c r="L212" s="108"/>
      <c r="M212" s="108"/>
      <c r="N212" s="108">
        <v>5</v>
      </c>
      <c r="O212" s="109">
        <v>20</v>
      </c>
      <c r="P212" s="109"/>
      <c r="Q212" s="112">
        <f t="shared" si="126"/>
        <v>158.988</v>
      </c>
      <c r="R212" s="108">
        <v>118.988</v>
      </c>
      <c r="S212" s="108">
        <v>25</v>
      </c>
      <c r="T212" s="108"/>
      <c r="U212" s="108"/>
      <c r="V212" s="108"/>
      <c r="W212" s="108"/>
      <c r="X212" s="109">
        <v>15</v>
      </c>
      <c r="Y212" s="109"/>
      <c r="Z212" s="112">
        <f t="shared" si="127"/>
        <v>158.988</v>
      </c>
      <c r="AA212" s="108">
        <v>118.988</v>
      </c>
      <c r="AB212" s="108">
        <v>25</v>
      </c>
      <c r="AC212" s="108"/>
      <c r="AD212" s="108"/>
      <c r="AE212" s="108"/>
      <c r="AF212" s="108"/>
      <c r="AG212" s="109">
        <v>15</v>
      </c>
      <c r="AH212" s="109"/>
    </row>
    <row r="213" spans="1:34" s="130" customFormat="1" ht="12" customHeight="1" hidden="1" outlineLevel="1">
      <c r="A213" s="10"/>
      <c r="B213" s="46"/>
      <c r="C213" s="186" t="s">
        <v>709</v>
      </c>
      <c r="D213" s="46"/>
      <c r="E213" s="81">
        <v>8</v>
      </c>
      <c r="F213" s="196">
        <v>18</v>
      </c>
      <c r="G213" s="214">
        <f>10+6+6</f>
        <v>22</v>
      </c>
      <c r="H213" s="80">
        <f t="shared" si="125"/>
        <v>60</v>
      </c>
      <c r="I213" s="262">
        <v>50</v>
      </c>
      <c r="J213" s="108"/>
      <c r="K213" s="108"/>
      <c r="L213" s="108"/>
      <c r="M213" s="108"/>
      <c r="N213" s="108"/>
      <c r="O213" s="109">
        <v>10</v>
      </c>
      <c r="P213" s="109"/>
      <c r="Q213" s="112">
        <f t="shared" si="126"/>
        <v>119.52199999999999</v>
      </c>
      <c r="R213" s="108">
        <v>59.522</v>
      </c>
      <c r="S213" s="108">
        <v>30</v>
      </c>
      <c r="T213" s="108"/>
      <c r="U213" s="108"/>
      <c r="V213" s="108"/>
      <c r="W213" s="108"/>
      <c r="X213" s="109">
        <v>30</v>
      </c>
      <c r="Y213" s="215"/>
      <c r="Z213" s="200">
        <f>SUM(AA213:AG213)</f>
        <v>104</v>
      </c>
      <c r="AA213" s="201">
        <v>50</v>
      </c>
      <c r="AB213" s="201">
        <v>25</v>
      </c>
      <c r="AC213" s="201"/>
      <c r="AD213" s="201"/>
      <c r="AE213" s="201"/>
      <c r="AF213" s="201"/>
      <c r="AG213" s="141">
        <v>29</v>
      </c>
      <c r="AH213" s="141">
        <f>Z213</f>
        <v>104</v>
      </c>
    </row>
    <row r="214" spans="1:34" s="130" customFormat="1" ht="12" customHeight="1" hidden="1" outlineLevel="1">
      <c r="A214" s="10"/>
      <c r="B214" s="46"/>
      <c r="C214" s="191" t="s">
        <v>710</v>
      </c>
      <c r="D214" s="46"/>
      <c r="E214" s="192">
        <v>9</v>
      </c>
      <c r="F214" s="196">
        <v>32</v>
      </c>
      <c r="G214" s="214">
        <f>20+8+7</f>
        <v>35</v>
      </c>
      <c r="H214" s="80">
        <f t="shared" si="125"/>
        <v>165</v>
      </c>
      <c r="I214" s="262">
        <v>140</v>
      </c>
      <c r="J214" s="108">
        <v>5</v>
      </c>
      <c r="K214" s="108"/>
      <c r="L214" s="108"/>
      <c r="M214" s="108"/>
      <c r="N214" s="108">
        <v>5</v>
      </c>
      <c r="O214" s="109">
        <v>15</v>
      </c>
      <c r="P214" s="109"/>
      <c r="Q214" s="112">
        <f t="shared" si="126"/>
        <v>136.059</v>
      </c>
      <c r="R214" s="108">
        <v>88.059</v>
      </c>
      <c r="S214" s="108">
        <v>30</v>
      </c>
      <c r="T214" s="108"/>
      <c r="U214" s="108"/>
      <c r="V214" s="108"/>
      <c r="W214" s="108"/>
      <c r="X214" s="109">
        <v>18</v>
      </c>
      <c r="Y214" s="109"/>
      <c r="Z214" s="112">
        <f t="shared" si="127"/>
        <v>136.059</v>
      </c>
      <c r="AA214" s="108">
        <v>88.059</v>
      </c>
      <c r="AB214" s="108">
        <v>30</v>
      </c>
      <c r="AC214" s="108"/>
      <c r="AD214" s="108"/>
      <c r="AE214" s="108"/>
      <c r="AF214" s="108"/>
      <c r="AG214" s="109">
        <v>18</v>
      </c>
      <c r="AH214" s="109"/>
    </row>
    <row r="215" spans="1:43" s="129" customFormat="1" ht="12" customHeight="1" hidden="1" outlineLevel="1">
      <c r="A215" s="98"/>
      <c r="B215" s="46"/>
      <c r="C215" s="46"/>
      <c r="D215" s="46"/>
      <c r="E215" s="81" t="s">
        <v>471</v>
      </c>
      <c r="F215" s="126"/>
      <c r="H215" s="99">
        <f>H205/$H$205</f>
        <v>1</v>
      </c>
      <c r="I215" s="261">
        <f aca="true" t="shared" si="130" ref="I215:O215">I205/$H$205</f>
        <v>0.6028708133971292</v>
      </c>
      <c r="J215" s="99">
        <f t="shared" si="130"/>
        <v>0.07177033492822966</v>
      </c>
      <c r="K215" s="99">
        <f t="shared" si="130"/>
        <v>0.13157894736842105</v>
      </c>
      <c r="L215" s="99">
        <f t="shared" si="130"/>
        <v>0</v>
      </c>
      <c r="M215" s="99">
        <f t="shared" si="130"/>
        <v>0.11961722488038277</v>
      </c>
      <c r="N215" s="99">
        <f t="shared" si="130"/>
        <v>0.03110047846889952</v>
      </c>
      <c r="O215" s="99">
        <f t="shared" si="130"/>
        <v>0.0430622009569378</v>
      </c>
      <c r="P215" s="99"/>
      <c r="Q215" s="99">
        <f>Q205/$Q$205</f>
        <v>1</v>
      </c>
      <c r="R215" s="99">
        <f aca="true" t="shared" si="131" ref="R215:X215">R205/$Q$205</f>
        <v>0.5502392344497608</v>
      </c>
      <c r="S215" s="99">
        <f t="shared" si="131"/>
        <v>0.1339712918660287</v>
      </c>
      <c r="T215" s="99">
        <f t="shared" si="131"/>
        <v>0.09808612440191387</v>
      </c>
      <c r="U215" s="99">
        <f t="shared" si="131"/>
        <v>0</v>
      </c>
      <c r="V215" s="99">
        <f t="shared" si="131"/>
        <v>0.11961722488038277</v>
      </c>
      <c r="W215" s="99">
        <f t="shared" si="131"/>
        <v>0.050239234449760764</v>
      </c>
      <c r="X215" s="99">
        <f t="shared" si="131"/>
        <v>0.04784688995215311</v>
      </c>
      <c r="Y215" s="99"/>
      <c r="Z215" s="99">
        <f>Z205/$Z$205</f>
        <v>1</v>
      </c>
      <c r="AA215" s="99">
        <f aca="true" t="shared" si="132" ref="AA215:AH215">AA205/$Z$205</f>
        <v>0.5497664714851295</v>
      </c>
      <c r="AB215" s="99">
        <f t="shared" si="132"/>
        <v>0.13256340507664816</v>
      </c>
      <c r="AC215" s="99">
        <f t="shared" si="132"/>
        <v>0.09881999287531952</v>
      </c>
      <c r="AD215" s="99">
        <f t="shared" si="132"/>
        <v>0</v>
      </c>
      <c r="AE215" s="99">
        <f t="shared" si="132"/>
        <v>0.1205121864333165</v>
      </c>
      <c r="AF215" s="99">
        <f t="shared" si="132"/>
        <v>0.050615118301992924</v>
      </c>
      <c r="AG215" s="99">
        <f t="shared" si="132"/>
        <v>0.04772282582759333</v>
      </c>
      <c r="AH215" s="99">
        <f t="shared" si="132"/>
        <v>0.05013306955625966</v>
      </c>
      <c r="AI215" s="99">
        <f>AI205/$AI$205</f>
        <v>1</v>
      </c>
      <c r="AJ215" s="99">
        <f aca="true" t="shared" si="133" ref="AJ215:AQ215">AJ205/$AI$205</f>
        <v>0.5884990882047975</v>
      </c>
      <c r="AK215" s="99">
        <f t="shared" si="133"/>
        <v>0.1349736488053145</v>
      </c>
      <c r="AL215" s="99">
        <f t="shared" si="133"/>
        <v>0.041142860448334255</v>
      </c>
      <c r="AM215" s="99">
        <f t="shared" si="133"/>
        <v>0</v>
      </c>
      <c r="AN215" s="99">
        <f t="shared" si="133"/>
        <v>0.036298270553714936</v>
      </c>
      <c r="AO215" s="99">
        <f t="shared" si="133"/>
        <v>0.14991715992304575</v>
      </c>
      <c r="AP215" s="99">
        <f t="shared" si="133"/>
        <v>0.04916897206479314</v>
      </c>
      <c r="AQ215" s="99">
        <f t="shared" si="133"/>
        <v>0</v>
      </c>
    </row>
    <row r="216" spans="1:43" s="129" customFormat="1" ht="12" customHeight="1" hidden="1" outlineLevel="1">
      <c r="A216" s="98"/>
      <c r="B216" s="46"/>
      <c r="C216" s="46"/>
      <c r="D216" s="46"/>
      <c r="E216" s="81" t="s">
        <v>472</v>
      </c>
      <c r="F216" s="126"/>
      <c r="G216" s="81"/>
      <c r="H216" s="99"/>
      <c r="I216" s="261"/>
      <c r="J216" s="99"/>
      <c r="K216" s="99"/>
      <c r="L216" s="99"/>
      <c r="M216" s="99"/>
      <c r="N216" s="99"/>
      <c r="O216" s="99"/>
      <c r="P216" s="99"/>
      <c r="Q216" s="65">
        <f aca="true" t="shared" si="134" ref="Q216:X216">Q205-H205</f>
        <v>0</v>
      </c>
      <c r="R216" s="65">
        <f t="shared" si="134"/>
        <v>-110</v>
      </c>
      <c r="S216" s="65">
        <f t="shared" si="134"/>
        <v>130</v>
      </c>
      <c r="T216" s="65">
        <f t="shared" si="134"/>
        <v>-70</v>
      </c>
      <c r="U216" s="65">
        <f t="shared" si="134"/>
        <v>0</v>
      </c>
      <c r="V216" s="65">
        <f t="shared" si="134"/>
        <v>0</v>
      </c>
      <c r="W216" s="65">
        <f t="shared" si="134"/>
        <v>40</v>
      </c>
      <c r="X216" s="65">
        <f t="shared" si="134"/>
        <v>10</v>
      </c>
      <c r="Y216" s="65"/>
      <c r="Z216" s="65">
        <f aca="true" t="shared" si="135" ref="Z216:AG216">Z205-Q205</f>
        <v>-15.52099999999973</v>
      </c>
      <c r="AA216" s="65">
        <f t="shared" si="135"/>
        <v>-9.520999999999958</v>
      </c>
      <c r="AB216" s="65">
        <f t="shared" si="135"/>
        <v>-5</v>
      </c>
      <c r="AC216" s="65">
        <f t="shared" si="135"/>
        <v>0</v>
      </c>
      <c r="AD216" s="65">
        <f t="shared" si="135"/>
        <v>0</v>
      </c>
      <c r="AE216" s="65">
        <f t="shared" si="135"/>
        <v>0</v>
      </c>
      <c r="AF216" s="65">
        <f t="shared" si="135"/>
        <v>0</v>
      </c>
      <c r="AG216" s="65">
        <f t="shared" si="135"/>
        <v>-1</v>
      </c>
      <c r="AH216" s="65"/>
      <c r="AJ216" s="813">
        <f>AJ215-AA215</f>
        <v>0.03873261671966799</v>
      </c>
      <c r="AK216" s="813">
        <f aca="true" t="shared" si="136" ref="AK216:AQ216">AK215-AB215</f>
        <v>0.002410243728666356</v>
      </c>
      <c r="AL216" s="813">
        <f t="shared" si="136"/>
        <v>-0.057677132426985266</v>
      </c>
      <c r="AM216" s="813">
        <f t="shared" si="136"/>
        <v>0</v>
      </c>
      <c r="AN216" s="813">
        <f t="shared" si="136"/>
        <v>-0.08421391587960156</v>
      </c>
      <c r="AO216" s="813">
        <f t="shared" si="136"/>
        <v>0.09930204162105283</v>
      </c>
      <c r="AP216" s="813">
        <f t="shared" si="136"/>
        <v>0.0014461462371998107</v>
      </c>
      <c r="AQ216" s="813">
        <f t="shared" si="136"/>
        <v>-0.05013306955625966</v>
      </c>
    </row>
    <row r="217" spans="1:34" s="130" customFormat="1" ht="12" customHeight="1" hidden="1" outlineLevel="1">
      <c r="A217" s="10"/>
      <c r="B217" s="46"/>
      <c r="C217" s="46"/>
      <c r="D217" s="46"/>
      <c r="E217" s="43" t="s">
        <v>473</v>
      </c>
      <c r="F217" s="44"/>
      <c r="G217" s="43"/>
      <c r="H217" s="49"/>
      <c r="I217" s="262"/>
      <c r="J217" s="49"/>
      <c r="K217" s="49"/>
      <c r="L217" s="49"/>
      <c r="M217" s="49"/>
      <c r="N217" s="49"/>
      <c r="O217" s="49"/>
      <c r="P217" s="49"/>
      <c r="Q217" s="49"/>
      <c r="R217" s="49"/>
      <c r="S217" s="84"/>
      <c r="T217" s="49"/>
      <c r="U217" s="49"/>
      <c r="V217" s="49"/>
      <c r="W217" s="49"/>
      <c r="X217" s="49"/>
      <c r="Y217" s="49"/>
      <c r="Z217" s="65">
        <f>Z205-H205</f>
        <v>-15.52099999999973</v>
      </c>
      <c r="AA217" s="65">
        <f aca="true" t="shared" si="137" ref="AA217:AH217">AA205-I205</f>
        <v>-119.52099999999996</v>
      </c>
      <c r="AB217" s="65">
        <f t="shared" si="137"/>
        <v>125</v>
      </c>
      <c r="AC217" s="65">
        <f t="shared" si="137"/>
        <v>-70</v>
      </c>
      <c r="AD217" s="65">
        <f t="shared" si="137"/>
        <v>0</v>
      </c>
      <c r="AE217" s="65">
        <f t="shared" si="137"/>
        <v>0</v>
      </c>
      <c r="AF217" s="65">
        <f t="shared" si="137"/>
        <v>40</v>
      </c>
      <c r="AG217" s="65">
        <f t="shared" si="137"/>
        <v>9</v>
      </c>
      <c r="AH217" s="65">
        <f t="shared" si="137"/>
        <v>104</v>
      </c>
    </row>
    <row r="218" spans="1:52" s="130" customFormat="1" ht="12" customHeight="1" collapsed="1">
      <c r="A218" s="117">
        <v>26</v>
      </c>
      <c r="B218" s="118" t="s">
        <v>482</v>
      </c>
      <c r="C218" s="118" t="s">
        <v>664</v>
      </c>
      <c r="D218" s="118"/>
      <c r="E218" s="119"/>
      <c r="F218" s="125">
        <f>SUM(F219:F225)</f>
        <v>288</v>
      </c>
      <c r="G218" s="125">
        <f>SUM(G219:G225)</f>
        <v>173</v>
      </c>
      <c r="H218" s="111">
        <f>SUM(H219:H225)</f>
        <v>1260</v>
      </c>
      <c r="I218" s="259">
        <f aca="true" t="shared" si="138" ref="I218:P218">SUM(I219:I225)</f>
        <v>584.4</v>
      </c>
      <c r="J218" s="111">
        <f t="shared" si="138"/>
        <v>205.89999999999998</v>
      </c>
      <c r="K218" s="111">
        <f t="shared" si="138"/>
        <v>0</v>
      </c>
      <c r="L218" s="111">
        <f t="shared" si="138"/>
        <v>232</v>
      </c>
      <c r="M218" s="111">
        <f t="shared" si="138"/>
        <v>68</v>
      </c>
      <c r="N218" s="111">
        <f t="shared" si="138"/>
        <v>106.7</v>
      </c>
      <c r="O218" s="111">
        <f t="shared" si="138"/>
        <v>63</v>
      </c>
      <c r="P218" s="89">
        <f t="shared" si="138"/>
        <v>0</v>
      </c>
      <c r="Q218" s="111">
        <f aca="true" t="shared" si="139" ref="Q218:AP218">SUM(Q219:Q225)</f>
        <v>750</v>
      </c>
      <c r="R218" s="111">
        <f t="shared" si="139"/>
        <v>329.9</v>
      </c>
      <c r="S218" s="111">
        <f t="shared" si="139"/>
        <v>165.3</v>
      </c>
      <c r="T218" s="111">
        <f t="shared" si="139"/>
        <v>0</v>
      </c>
      <c r="U218" s="111">
        <f t="shared" si="139"/>
        <v>116</v>
      </c>
      <c r="V218" s="111">
        <f t="shared" si="139"/>
        <v>39</v>
      </c>
      <c r="W218" s="111">
        <f t="shared" si="139"/>
        <v>53.35</v>
      </c>
      <c r="X218" s="111">
        <f t="shared" si="139"/>
        <v>46.45</v>
      </c>
      <c r="Y218" s="111">
        <f t="shared" si="139"/>
        <v>0</v>
      </c>
      <c r="Z218" s="111">
        <f t="shared" si="139"/>
        <v>740.5499999999998</v>
      </c>
      <c r="AA218" s="89">
        <f t="shared" si="139"/>
        <v>329.9</v>
      </c>
      <c r="AB218" s="89">
        <f t="shared" si="139"/>
        <v>165.3</v>
      </c>
      <c r="AC218" s="89">
        <f t="shared" si="139"/>
        <v>0</v>
      </c>
      <c r="AD218" s="89">
        <f t="shared" si="139"/>
        <v>116</v>
      </c>
      <c r="AE218" s="89">
        <f t="shared" si="139"/>
        <v>39</v>
      </c>
      <c r="AF218" s="89">
        <f t="shared" si="139"/>
        <v>53.35</v>
      </c>
      <c r="AG218" s="89">
        <f t="shared" si="139"/>
        <v>37</v>
      </c>
      <c r="AH218" s="89">
        <f t="shared" si="139"/>
        <v>0</v>
      </c>
      <c r="AI218" s="111">
        <f t="shared" si="139"/>
        <v>733.65</v>
      </c>
      <c r="AJ218" s="111">
        <f t="shared" si="139"/>
        <v>386.40000000000003</v>
      </c>
      <c r="AK218" s="111">
        <f t="shared" si="139"/>
        <v>192.95000000000002</v>
      </c>
      <c r="AL218" s="111">
        <f t="shared" si="139"/>
        <v>0</v>
      </c>
      <c r="AM218" s="111">
        <f t="shared" si="139"/>
        <v>52.7</v>
      </c>
      <c r="AN218" s="111">
        <f t="shared" si="139"/>
        <v>26</v>
      </c>
      <c r="AO218" s="111">
        <f t="shared" si="139"/>
        <v>42</v>
      </c>
      <c r="AP218" s="111">
        <f t="shared" si="139"/>
        <v>33.6</v>
      </c>
      <c r="AQ218" s="89">
        <f aca="true" t="shared" si="140" ref="AQ218:AY218">SUM(AQ219:AQ225)</f>
        <v>0</v>
      </c>
      <c r="AR218" s="111">
        <f t="shared" si="140"/>
        <v>0</v>
      </c>
      <c r="AS218" s="111">
        <f t="shared" si="140"/>
        <v>0</v>
      </c>
      <c r="AT218" s="111">
        <f t="shared" si="140"/>
        <v>0</v>
      </c>
      <c r="AU218" s="111">
        <f t="shared" si="140"/>
        <v>0</v>
      </c>
      <c r="AV218" s="111">
        <f t="shared" si="140"/>
        <v>0</v>
      </c>
      <c r="AW218" s="111">
        <f t="shared" si="140"/>
        <v>0</v>
      </c>
      <c r="AX218" s="111">
        <f t="shared" si="140"/>
        <v>0</v>
      </c>
      <c r="AY218" s="111">
        <f t="shared" si="140"/>
        <v>0</v>
      </c>
      <c r="AZ218" s="89">
        <f>SUM(AZ219:AZ225)</f>
        <v>0</v>
      </c>
    </row>
    <row r="219" spans="1:52" s="130" customFormat="1" ht="12" customHeight="1" hidden="1" outlineLevel="1">
      <c r="A219" s="10"/>
      <c r="B219" s="46"/>
      <c r="C219" s="180">
        <f>Z218*0.65</f>
        <v>481.3574999999999</v>
      </c>
      <c r="D219" s="46"/>
      <c r="E219" s="121">
        <v>1</v>
      </c>
      <c r="F219" s="176">
        <v>12</v>
      </c>
      <c r="G219" s="177">
        <v>13</v>
      </c>
      <c r="H219" s="184">
        <f>SUM(I219:O219)</f>
        <v>44</v>
      </c>
      <c r="I219" s="266">
        <v>27.5</v>
      </c>
      <c r="J219" s="159">
        <v>10.2</v>
      </c>
      <c r="K219" s="178"/>
      <c r="L219" s="178"/>
      <c r="M219" s="178"/>
      <c r="N219" s="178"/>
      <c r="O219" s="159">
        <v>6.3</v>
      </c>
      <c r="P219" s="83"/>
      <c r="Q219" s="112">
        <f aca="true" t="shared" si="141" ref="Q219:Q225">SUM(R219:X219)</f>
        <v>44.199999999999996</v>
      </c>
      <c r="R219" s="146">
        <v>27.7</v>
      </c>
      <c r="S219" s="146">
        <v>10.2</v>
      </c>
      <c r="T219" s="146"/>
      <c r="U219" s="146"/>
      <c r="V219" s="146"/>
      <c r="W219" s="146"/>
      <c r="X219" s="146">
        <v>6.3</v>
      </c>
      <c r="Y219" s="109"/>
      <c r="Z219" s="80">
        <f aca="true" t="shared" si="142" ref="Z219:Z225">SUM(AA219:AG219)</f>
        <v>43.9</v>
      </c>
      <c r="AA219" s="146">
        <v>27.7</v>
      </c>
      <c r="AB219" s="146">
        <v>10.2</v>
      </c>
      <c r="AC219" s="146"/>
      <c r="AD219" s="146"/>
      <c r="AE219" s="146"/>
      <c r="AF219" s="146"/>
      <c r="AG219" s="147">
        <v>6</v>
      </c>
      <c r="AH219" s="109"/>
      <c r="AI219" s="80">
        <f aca="true" t="shared" si="143" ref="AI219:AI225">SUM(AJ219:AP219)</f>
        <v>65.2</v>
      </c>
      <c r="AJ219" s="695">
        <v>46.6</v>
      </c>
      <c r="AK219" s="695">
        <v>14.85</v>
      </c>
      <c r="AL219" s="695">
        <v>0</v>
      </c>
      <c r="AM219" s="695">
        <v>0</v>
      </c>
      <c r="AN219" s="695">
        <v>0</v>
      </c>
      <c r="AO219" s="695">
        <v>0</v>
      </c>
      <c r="AP219" s="695">
        <v>3.75</v>
      </c>
      <c r="AQ219" s="109"/>
      <c r="AR219" s="80">
        <f aca="true" t="shared" si="144" ref="AR219:AR225">SUM(AS219:AY219)</f>
        <v>0</v>
      </c>
      <c r="AS219" s="695"/>
      <c r="AT219" s="695"/>
      <c r="AU219" s="695"/>
      <c r="AV219" s="695"/>
      <c r="AW219" s="695"/>
      <c r="AX219" s="695"/>
      <c r="AY219" s="695"/>
      <c r="AZ219" s="109"/>
    </row>
    <row r="220" spans="1:52" s="130" customFormat="1" ht="12" customHeight="1" hidden="1" outlineLevel="1">
      <c r="A220" s="10"/>
      <c r="B220" s="46"/>
      <c r="C220" s="181">
        <f>Z218-C219</f>
        <v>259.19249999999994</v>
      </c>
      <c r="D220" s="46"/>
      <c r="E220" s="121">
        <v>2</v>
      </c>
      <c r="F220" s="176">
        <v>70</v>
      </c>
      <c r="G220" s="177">
        <v>50</v>
      </c>
      <c r="H220" s="184">
        <f aca="true" t="shared" si="145" ref="H220:H225">SUM(I220:O220)</f>
        <v>500</v>
      </c>
      <c r="I220" s="266">
        <v>245</v>
      </c>
      <c r="J220" s="159">
        <v>160</v>
      </c>
      <c r="K220" s="178"/>
      <c r="L220" s="159">
        <v>50</v>
      </c>
      <c r="M220" s="159">
        <v>10</v>
      </c>
      <c r="N220" s="159">
        <v>28.7</v>
      </c>
      <c r="O220" s="159">
        <v>6.3</v>
      </c>
      <c r="P220" s="83"/>
      <c r="Q220" s="112">
        <f t="shared" si="141"/>
        <v>232.45</v>
      </c>
      <c r="R220" s="146">
        <v>109</v>
      </c>
      <c r="S220" s="146">
        <v>70.6</v>
      </c>
      <c r="T220" s="146"/>
      <c r="U220" s="146">
        <v>25</v>
      </c>
      <c r="V220" s="146">
        <v>10</v>
      </c>
      <c r="W220" s="146">
        <v>14.35</v>
      </c>
      <c r="X220" s="146">
        <v>3.5</v>
      </c>
      <c r="Y220" s="109"/>
      <c r="Z220" s="80">
        <f t="shared" si="142"/>
        <v>231.95</v>
      </c>
      <c r="AA220" s="146">
        <v>109</v>
      </c>
      <c r="AB220" s="146">
        <v>70.6</v>
      </c>
      <c r="AC220" s="146"/>
      <c r="AD220" s="146">
        <v>25</v>
      </c>
      <c r="AE220" s="146">
        <v>10</v>
      </c>
      <c r="AF220" s="146">
        <v>14.35</v>
      </c>
      <c r="AG220" s="147">
        <v>3</v>
      </c>
      <c r="AH220" s="109"/>
      <c r="AI220" s="80">
        <f t="shared" si="143"/>
        <v>177.6</v>
      </c>
      <c r="AJ220" s="695">
        <v>109</v>
      </c>
      <c r="AK220" s="695">
        <v>35</v>
      </c>
      <c r="AL220" s="695">
        <v>0</v>
      </c>
      <c r="AM220" s="695">
        <v>5</v>
      </c>
      <c r="AN220" s="695">
        <v>5</v>
      </c>
      <c r="AO220" s="695">
        <v>17</v>
      </c>
      <c r="AP220" s="695">
        <v>6.6</v>
      </c>
      <c r="AQ220" s="109"/>
      <c r="AR220" s="80">
        <f t="shared" si="144"/>
        <v>0</v>
      </c>
      <c r="AS220" s="695"/>
      <c r="AT220" s="695"/>
      <c r="AU220" s="695"/>
      <c r="AV220" s="695"/>
      <c r="AW220" s="695"/>
      <c r="AX220" s="695"/>
      <c r="AY220" s="695"/>
      <c r="AZ220" s="109"/>
    </row>
    <row r="221" spans="1:52" s="130" customFormat="1" ht="12" customHeight="1" hidden="1" outlineLevel="1">
      <c r="A221" s="10"/>
      <c r="B221" s="46"/>
      <c r="C221" s="182">
        <f>Q218*0.65</f>
        <v>487.5</v>
      </c>
      <c r="D221" s="96"/>
      <c r="E221" s="121">
        <v>3</v>
      </c>
      <c r="F221" s="176">
        <v>36</v>
      </c>
      <c r="G221" s="177">
        <v>25</v>
      </c>
      <c r="H221" s="184">
        <f t="shared" si="145"/>
        <v>188</v>
      </c>
      <c r="I221" s="266">
        <v>56.7</v>
      </c>
      <c r="J221" s="159">
        <v>15</v>
      </c>
      <c r="K221" s="178"/>
      <c r="L221" s="159">
        <v>67</v>
      </c>
      <c r="M221" s="159">
        <v>20</v>
      </c>
      <c r="N221" s="159">
        <v>23</v>
      </c>
      <c r="O221" s="159">
        <v>6.3</v>
      </c>
      <c r="P221" s="83"/>
      <c r="Q221" s="112">
        <f t="shared" si="141"/>
        <v>117.3</v>
      </c>
      <c r="R221" s="146">
        <v>34</v>
      </c>
      <c r="S221" s="146">
        <v>22</v>
      </c>
      <c r="T221" s="146"/>
      <c r="U221" s="146">
        <v>33.5</v>
      </c>
      <c r="V221" s="146">
        <v>10</v>
      </c>
      <c r="W221" s="146">
        <v>11.5</v>
      </c>
      <c r="X221" s="146">
        <v>6.3</v>
      </c>
      <c r="Y221" s="109"/>
      <c r="Z221" s="80">
        <f t="shared" si="142"/>
        <v>117</v>
      </c>
      <c r="AA221" s="146">
        <v>34</v>
      </c>
      <c r="AB221" s="146">
        <v>22</v>
      </c>
      <c r="AC221" s="146"/>
      <c r="AD221" s="146">
        <v>33.5</v>
      </c>
      <c r="AE221" s="146">
        <v>10</v>
      </c>
      <c r="AF221" s="146">
        <v>11.5</v>
      </c>
      <c r="AG221" s="147">
        <v>6</v>
      </c>
      <c r="AH221" s="109"/>
      <c r="AI221" s="80">
        <f t="shared" si="143"/>
        <v>113.00000000000001</v>
      </c>
      <c r="AJ221" s="695">
        <v>59.2</v>
      </c>
      <c r="AK221" s="695">
        <v>23.6</v>
      </c>
      <c r="AL221" s="695">
        <v>0</v>
      </c>
      <c r="AM221" s="695">
        <v>7.7</v>
      </c>
      <c r="AN221" s="695">
        <v>5</v>
      </c>
      <c r="AO221" s="695">
        <v>10</v>
      </c>
      <c r="AP221" s="695">
        <v>7.5</v>
      </c>
      <c r="AQ221" s="109"/>
      <c r="AR221" s="80">
        <f t="shared" si="144"/>
        <v>0</v>
      </c>
      <c r="AS221" s="695"/>
      <c r="AT221" s="695"/>
      <c r="AU221" s="695"/>
      <c r="AV221" s="695"/>
      <c r="AW221" s="695"/>
      <c r="AX221" s="695"/>
      <c r="AY221" s="695"/>
      <c r="AZ221" s="109"/>
    </row>
    <row r="222" spans="1:52" s="130" customFormat="1" ht="12" customHeight="1" hidden="1" outlineLevel="1">
      <c r="A222" s="10"/>
      <c r="B222" s="46"/>
      <c r="C222" s="181">
        <f>Q218-C221</f>
        <v>262.5</v>
      </c>
      <c r="D222" s="46"/>
      <c r="E222" s="121">
        <v>4</v>
      </c>
      <c r="F222" s="176">
        <v>40</v>
      </c>
      <c r="G222" s="177">
        <v>30</v>
      </c>
      <c r="H222" s="184">
        <f t="shared" si="145"/>
        <v>185</v>
      </c>
      <c r="I222" s="266">
        <v>50</v>
      </c>
      <c r="J222" s="159">
        <v>15.7</v>
      </c>
      <c r="K222" s="178"/>
      <c r="L222" s="159">
        <v>75</v>
      </c>
      <c r="M222" s="159">
        <v>18</v>
      </c>
      <c r="N222" s="159">
        <v>20</v>
      </c>
      <c r="O222" s="159">
        <v>6.3</v>
      </c>
      <c r="P222" s="83"/>
      <c r="Q222" s="112">
        <f t="shared" si="141"/>
        <v>135.65</v>
      </c>
      <c r="R222" s="146">
        <v>26</v>
      </c>
      <c r="S222" s="146">
        <v>50</v>
      </c>
      <c r="T222" s="146"/>
      <c r="U222" s="146">
        <v>37.5</v>
      </c>
      <c r="V222" s="146">
        <v>9</v>
      </c>
      <c r="W222" s="146">
        <v>10</v>
      </c>
      <c r="X222" s="146">
        <v>3.15</v>
      </c>
      <c r="Y222" s="109"/>
      <c r="Z222" s="80">
        <f t="shared" si="142"/>
        <v>134.5</v>
      </c>
      <c r="AA222" s="146">
        <v>26</v>
      </c>
      <c r="AB222" s="146">
        <v>50</v>
      </c>
      <c r="AC222" s="146"/>
      <c r="AD222" s="146">
        <v>37.5</v>
      </c>
      <c r="AE222" s="146">
        <v>9</v>
      </c>
      <c r="AF222" s="146">
        <v>10</v>
      </c>
      <c r="AG222" s="147">
        <v>2</v>
      </c>
      <c r="AH222" s="109"/>
      <c r="AI222" s="80">
        <f t="shared" si="143"/>
        <v>142</v>
      </c>
      <c r="AJ222" s="695">
        <v>42</v>
      </c>
      <c r="AK222" s="695">
        <v>42</v>
      </c>
      <c r="AL222" s="695">
        <v>0</v>
      </c>
      <c r="AM222" s="695">
        <v>38</v>
      </c>
      <c r="AN222" s="695">
        <v>10</v>
      </c>
      <c r="AO222" s="695">
        <v>10</v>
      </c>
      <c r="AP222" s="695">
        <v>0</v>
      </c>
      <c r="AQ222" s="109"/>
      <c r="AR222" s="80">
        <f t="shared" si="144"/>
        <v>0</v>
      </c>
      <c r="AS222" s="695"/>
      <c r="AT222" s="695"/>
      <c r="AU222" s="695"/>
      <c r="AV222" s="695"/>
      <c r="AW222" s="695"/>
      <c r="AX222" s="695"/>
      <c r="AY222" s="695"/>
      <c r="AZ222" s="109"/>
    </row>
    <row r="223" spans="1:52" s="130" customFormat="1" ht="12" customHeight="1" hidden="1" outlineLevel="1">
      <c r="A223" s="10"/>
      <c r="B223" s="46"/>
      <c r="C223" s="120"/>
      <c r="D223" s="46"/>
      <c r="E223" s="121">
        <v>5</v>
      </c>
      <c r="F223" s="176">
        <v>18</v>
      </c>
      <c r="G223" s="177">
        <v>10</v>
      </c>
      <c r="H223" s="184">
        <f t="shared" si="145"/>
        <v>50</v>
      </c>
      <c r="I223" s="266">
        <v>23.7</v>
      </c>
      <c r="J223" s="159">
        <v>5</v>
      </c>
      <c r="K223" s="178"/>
      <c r="L223" s="178"/>
      <c r="M223" s="178"/>
      <c r="N223" s="159">
        <v>15</v>
      </c>
      <c r="O223" s="159">
        <v>6.3</v>
      </c>
      <c r="P223" s="83"/>
      <c r="Q223" s="112">
        <f t="shared" si="141"/>
        <v>40.8</v>
      </c>
      <c r="R223" s="146">
        <v>23.8</v>
      </c>
      <c r="S223" s="146">
        <v>5</v>
      </c>
      <c r="T223" s="146"/>
      <c r="U223" s="146"/>
      <c r="V223" s="146"/>
      <c r="W223" s="146">
        <v>7.5</v>
      </c>
      <c r="X223" s="146">
        <v>4.5</v>
      </c>
      <c r="Y223" s="109"/>
      <c r="Z223" s="80">
        <f t="shared" si="142"/>
        <v>39.3</v>
      </c>
      <c r="AA223" s="146">
        <v>23.8</v>
      </c>
      <c r="AB223" s="146">
        <v>5</v>
      </c>
      <c r="AC223" s="146"/>
      <c r="AD223" s="146"/>
      <c r="AE223" s="146"/>
      <c r="AF223" s="146">
        <v>7.5</v>
      </c>
      <c r="AG223" s="147">
        <v>3</v>
      </c>
      <c r="AH223" s="109"/>
      <c r="AI223" s="80">
        <f t="shared" si="143"/>
        <v>73.5</v>
      </c>
      <c r="AJ223" s="695">
        <v>62.6</v>
      </c>
      <c r="AK223" s="695">
        <v>5.9</v>
      </c>
      <c r="AL223" s="695">
        <v>0</v>
      </c>
      <c r="AM223" s="695">
        <v>0</v>
      </c>
      <c r="AN223" s="695">
        <v>0</v>
      </c>
      <c r="AO223" s="695">
        <v>5</v>
      </c>
      <c r="AP223" s="695">
        <v>0</v>
      </c>
      <c r="AQ223" s="109"/>
      <c r="AR223" s="80">
        <f t="shared" si="144"/>
        <v>0</v>
      </c>
      <c r="AS223" s="695"/>
      <c r="AT223" s="695"/>
      <c r="AU223" s="695"/>
      <c r="AV223" s="695"/>
      <c r="AW223" s="695"/>
      <c r="AX223" s="695"/>
      <c r="AY223" s="695"/>
      <c r="AZ223" s="109"/>
    </row>
    <row r="224" spans="1:52" s="130" customFormat="1" ht="12" customHeight="1" hidden="1" outlineLevel="1">
      <c r="A224" s="10"/>
      <c r="B224" s="46"/>
      <c r="C224" s="46"/>
      <c r="D224" s="46"/>
      <c r="E224" s="121">
        <v>6</v>
      </c>
      <c r="F224" s="176">
        <v>16</v>
      </c>
      <c r="G224" s="177">
        <v>8</v>
      </c>
      <c r="H224" s="184">
        <f t="shared" si="145"/>
        <v>60</v>
      </c>
      <c r="I224" s="266">
        <v>23.7</v>
      </c>
      <c r="J224" s="178"/>
      <c r="K224" s="178"/>
      <c r="L224" s="159">
        <v>20</v>
      </c>
      <c r="M224" s="159">
        <v>10</v>
      </c>
      <c r="N224" s="178"/>
      <c r="O224" s="159">
        <v>6.3</v>
      </c>
      <c r="P224" s="83"/>
      <c r="Q224" s="112">
        <f t="shared" si="141"/>
        <v>45.199999999999996</v>
      </c>
      <c r="R224" s="146">
        <v>16.9</v>
      </c>
      <c r="S224" s="146">
        <v>7.5</v>
      </c>
      <c r="T224" s="146"/>
      <c r="U224" s="146">
        <v>10</v>
      </c>
      <c r="V224" s="146">
        <v>5</v>
      </c>
      <c r="W224" s="146"/>
      <c r="X224" s="146">
        <v>5.8</v>
      </c>
      <c r="Y224" s="109"/>
      <c r="Z224" s="80">
        <f t="shared" si="142"/>
        <v>43.4</v>
      </c>
      <c r="AA224" s="146">
        <v>16.9</v>
      </c>
      <c r="AB224" s="146">
        <v>7.5</v>
      </c>
      <c r="AC224" s="146"/>
      <c r="AD224" s="146">
        <v>10</v>
      </c>
      <c r="AE224" s="146">
        <v>5</v>
      </c>
      <c r="AF224" s="146"/>
      <c r="AG224" s="147">
        <v>4</v>
      </c>
      <c r="AH224" s="141"/>
      <c r="AI224" s="80">
        <f t="shared" si="143"/>
        <v>46.85</v>
      </c>
      <c r="AJ224" s="695">
        <v>11</v>
      </c>
      <c r="AK224" s="695">
        <v>23.6</v>
      </c>
      <c r="AL224" s="695">
        <v>0</v>
      </c>
      <c r="AM224" s="695">
        <v>2</v>
      </c>
      <c r="AN224" s="695">
        <v>6</v>
      </c>
      <c r="AO224" s="695">
        <v>0</v>
      </c>
      <c r="AP224" s="695">
        <v>4.25</v>
      </c>
      <c r="AQ224" s="141"/>
      <c r="AR224" s="80">
        <f t="shared" si="144"/>
        <v>0</v>
      </c>
      <c r="AS224" s="695"/>
      <c r="AT224" s="695"/>
      <c r="AU224" s="695"/>
      <c r="AV224" s="695"/>
      <c r="AW224" s="695"/>
      <c r="AX224" s="695"/>
      <c r="AY224" s="695"/>
      <c r="AZ224" s="141"/>
    </row>
    <row r="225" spans="1:52" s="130" customFormat="1" ht="12" customHeight="1" hidden="1" outlineLevel="1">
      <c r="A225" s="10"/>
      <c r="B225" s="46"/>
      <c r="C225" s="46"/>
      <c r="D225" s="46"/>
      <c r="E225" s="121">
        <v>7</v>
      </c>
      <c r="F225" s="176">
        <v>96</v>
      </c>
      <c r="G225" s="177">
        <v>37</v>
      </c>
      <c r="H225" s="184">
        <f t="shared" si="145"/>
        <v>233</v>
      </c>
      <c r="I225" s="266">
        <v>157.8</v>
      </c>
      <c r="J225" s="178"/>
      <c r="K225" s="178"/>
      <c r="L225" s="159">
        <v>20</v>
      </c>
      <c r="M225" s="159">
        <v>10</v>
      </c>
      <c r="N225" s="159">
        <v>20</v>
      </c>
      <c r="O225" s="159">
        <v>25.2</v>
      </c>
      <c r="P225" s="83"/>
      <c r="Q225" s="112">
        <f t="shared" si="141"/>
        <v>134.4</v>
      </c>
      <c r="R225" s="146">
        <v>92.5</v>
      </c>
      <c r="S225" s="146"/>
      <c r="T225" s="146"/>
      <c r="U225" s="146">
        <v>10</v>
      </c>
      <c r="V225" s="146">
        <v>5</v>
      </c>
      <c r="W225" s="146">
        <v>10</v>
      </c>
      <c r="X225" s="146">
        <v>16.9</v>
      </c>
      <c r="Y225" s="109"/>
      <c r="Z225" s="80">
        <f t="shared" si="142"/>
        <v>130.5</v>
      </c>
      <c r="AA225" s="146">
        <v>92.5</v>
      </c>
      <c r="AB225" s="146"/>
      <c r="AC225" s="146"/>
      <c r="AD225" s="146">
        <v>10</v>
      </c>
      <c r="AE225" s="146">
        <v>5</v>
      </c>
      <c r="AF225" s="146">
        <v>10</v>
      </c>
      <c r="AG225" s="147">
        <v>13</v>
      </c>
      <c r="AH225" s="109"/>
      <c r="AI225" s="80">
        <f t="shared" si="143"/>
        <v>115.5</v>
      </c>
      <c r="AJ225" s="695">
        <v>56</v>
      </c>
      <c r="AK225" s="695">
        <v>48</v>
      </c>
      <c r="AL225" s="695">
        <v>0</v>
      </c>
      <c r="AM225" s="695">
        <v>0</v>
      </c>
      <c r="AN225" s="695">
        <v>0</v>
      </c>
      <c r="AO225" s="695">
        <v>0</v>
      </c>
      <c r="AP225" s="695">
        <v>11.5</v>
      </c>
      <c r="AQ225" s="109"/>
      <c r="AR225" s="80">
        <f t="shared" si="144"/>
        <v>0</v>
      </c>
      <c r="AS225" s="695"/>
      <c r="AT225" s="695"/>
      <c r="AU225" s="695"/>
      <c r="AV225" s="695"/>
      <c r="AW225" s="695"/>
      <c r="AX225" s="695"/>
      <c r="AY225" s="695"/>
      <c r="AZ225" s="109"/>
    </row>
    <row r="226" spans="1:52" s="129" customFormat="1" ht="12" customHeight="1" hidden="1" outlineLevel="1">
      <c r="A226" s="98"/>
      <c r="B226" s="46"/>
      <c r="C226" s="46"/>
      <c r="D226" s="46"/>
      <c r="E226" s="81" t="s">
        <v>471</v>
      </c>
      <c r="F226" s="126"/>
      <c r="G226" s="81"/>
      <c r="H226" s="99">
        <f>H218/$H$218</f>
        <v>1</v>
      </c>
      <c r="I226" s="261">
        <f aca="true" t="shared" si="146" ref="I226:P226">I218/$H$218</f>
        <v>0.4638095238095238</v>
      </c>
      <c r="J226" s="99">
        <f t="shared" si="146"/>
        <v>0.1634126984126984</v>
      </c>
      <c r="K226" s="99">
        <f t="shared" si="146"/>
        <v>0</v>
      </c>
      <c r="L226" s="99">
        <f t="shared" si="146"/>
        <v>0.18412698412698414</v>
      </c>
      <c r="M226" s="99">
        <f t="shared" si="146"/>
        <v>0.05396825396825397</v>
      </c>
      <c r="N226" s="99">
        <f t="shared" si="146"/>
        <v>0.08468253968253968</v>
      </c>
      <c r="O226" s="99">
        <f t="shared" si="146"/>
        <v>0.05</v>
      </c>
      <c r="P226" s="99">
        <f t="shared" si="146"/>
        <v>0</v>
      </c>
      <c r="Q226" s="99">
        <f>Q218/$Q$218</f>
        <v>1</v>
      </c>
      <c r="R226" s="99">
        <f aca="true" t="shared" si="147" ref="R226:Y226">R218/$Q$218</f>
        <v>0.43986666666666663</v>
      </c>
      <c r="S226" s="99">
        <f t="shared" si="147"/>
        <v>0.2204</v>
      </c>
      <c r="T226" s="99">
        <f t="shared" si="147"/>
        <v>0</v>
      </c>
      <c r="U226" s="99">
        <f t="shared" si="147"/>
        <v>0.15466666666666667</v>
      </c>
      <c r="V226" s="99">
        <f t="shared" si="147"/>
        <v>0.052</v>
      </c>
      <c r="W226" s="99">
        <f t="shared" si="147"/>
        <v>0.07113333333333334</v>
      </c>
      <c r="X226" s="99">
        <f t="shared" si="147"/>
        <v>0.06193333333333334</v>
      </c>
      <c r="Y226" s="99">
        <f t="shared" si="147"/>
        <v>0</v>
      </c>
      <c r="Z226" s="99">
        <f>Z218/$Z$218</f>
        <v>1</v>
      </c>
      <c r="AA226" s="99">
        <f aca="true" t="shared" si="148" ref="AA226:AG226">AA218/$Z$218</f>
        <v>0.44547971102558914</v>
      </c>
      <c r="AB226" s="99">
        <f t="shared" si="148"/>
        <v>0.22321247721288237</v>
      </c>
      <c r="AC226" s="99">
        <f t="shared" si="148"/>
        <v>0</v>
      </c>
      <c r="AD226" s="99">
        <f t="shared" si="148"/>
        <v>0.15664033488623325</v>
      </c>
      <c r="AE226" s="99">
        <f t="shared" si="148"/>
        <v>0.05266356086692325</v>
      </c>
      <c r="AF226" s="99">
        <f t="shared" si="148"/>
        <v>0.07204105057052193</v>
      </c>
      <c r="AG226" s="99">
        <f t="shared" si="148"/>
        <v>0.04996286543785026</v>
      </c>
      <c r="AH226" s="99"/>
      <c r="AI226" s="99">
        <f>AI218/$AI$218</f>
        <v>1</v>
      </c>
      <c r="AJ226" s="99">
        <f aca="true" t="shared" si="149" ref="AJ226:AP226">AJ218/$AI$218</f>
        <v>0.5266816601921898</v>
      </c>
      <c r="AK226" s="99">
        <f t="shared" si="149"/>
        <v>0.2630000681523888</v>
      </c>
      <c r="AL226" s="99">
        <f t="shared" si="149"/>
        <v>0</v>
      </c>
      <c r="AM226" s="99">
        <f t="shared" si="149"/>
        <v>0.07183261773325156</v>
      </c>
      <c r="AN226" s="99">
        <f t="shared" si="149"/>
        <v>0.0354392421454372</v>
      </c>
      <c r="AO226" s="99">
        <f t="shared" si="149"/>
        <v>0.05724800654262932</v>
      </c>
      <c r="AP226" s="99">
        <f t="shared" si="149"/>
        <v>0.04579840523410346</v>
      </c>
      <c r="AQ226" s="99"/>
      <c r="AR226" s="99">
        <f>AR218/$AI$218</f>
        <v>0</v>
      </c>
      <c r="AS226" s="99">
        <f aca="true" t="shared" si="150" ref="AS226:AY226">AS218/$AI$218</f>
        <v>0</v>
      </c>
      <c r="AT226" s="99">
        <f t="shared" si="150"/>
        <v>0</v>
      </c>
      <c r="AU226" s="99">
        <f t="shared" si="150"/>
        <v>0</v>
      </c>
      <c r="AV226" s="99">
        <f t="shared" si="150"/>
        <v>0</v>
      </c>
      <c r="AW226" s="99">
        <f t="shared" si="150"/>
        <v>0</v>
      </c>
      <c r="AX226" s="99">
        <f t="shared" si="150"/>
        <v>0</v>
      </c>
      <c r="AY226" s="99">
        <f t="shared" si="150"/>
        <v>0</v>
      </c>
      <c r="AZ226" s="99"/>
    </row>
    <row r="227" spans="1:52" s="129" customFormat="1" ht="12" customHeight="1" hidden="1" outlineLevel="1">
      <c r="A227" s="98"/>
      <c r="B227" s="46"/>
      <c r="C227" s="46"/>
      <c r="D227" s="46"/>
      <c r="E227" s="81" t="s">
        <v>675</v>
      </c>
      <c r="F227" s="126"/>
      <c r="G227" s="81"/>
      <c r="H227" s="99"/>
      <c r="I227" s="261"/>
      <c r="J227" s="99"/>
      <c r="K227" s="99"/>
      <c r="L227" s="99"/>
      <c r="M227" s="99"/>
      <c r="N227" s="99"/>
      <c r="O227" s="99"/>
      <c r="P227" s="99"/>
      <c r="Q227" s="65">
        <f aca="true" t="shared" si="151" ref="Q227:AH227">Q218-H218</f>
        <v>-510</v>
      </c>
      <c r="R227" s="65">
        <f t="shared" si="151"/>
        <v>-254.5</v>
      </c>
      <c r="S227" s="65">
        <f t="shared" si="151"/>
        <v>-40.599999999999966</v>
      </c>
      <c r="T227" s="65">
        <f t="shared" si="151"/>
        <v>0</v>
      </c>
      <c r="U227" s="65">
        <f t="shared" si="151"/>
        <v>-116</v>
      </c>
      <c r="V227" s="65">
        <f t="shared" si="151"/>
        <v>-29</v>
      </c>
      <c r="W227" s="65">
        <f t="shared" si="151"/>
        <v>-53.35</v>
      </c>
      <c r="X227" s="65">
        <f t="shared" si="151"/>
        <v>-16.549999999999997</v>
      </c>
      <c r="Y227" s="65">
        <f t="shared" si="151"/>
        <v>0</v>
      </c>
      <c r="Z227" s="65">
        <f t="shared" si="151"/>
        <v>-9.45000000000016</v>
      </c>
      <c r="AA227" s="65">
        <f t="shared" si="151"/>
        <v>0</v>
      </c>
      <c r="AB227" s="65">
        <f t="shared" si="151"/>
        <v>0</v>
      </c>
      <c r="AC227" s="65">
        <f t="shared" si="151"/>
        <v>0</v>
      </c>
      <c r="AD227" s="65">
        <f t="shared" si="151"/>
        <v>0</v>
      </c>
      <c r="AE227" s="65">
        <f t="shared" si="151"/>
        <v>0</v>
      </c>
      <c r="AF227" s="65">
        <f t="shared" si="151"/>
        <v>0</v>
      </c>
      <c r="AG227" s="65">
        <f t="shared" si="151"/>
        <v>-9.450000000000003</v>
      </c>
      <c r="AH227" s="65">
        <f t="shared" si="151"/>
        <v>0</v>
      </c>
      <c r="AI227" s="161">
        <f aca="true" t="shared" si="152" ref="AI227:AQ227">AI218-Z218</f>
        <v>-6.899999999999864</v>
      </c>
      <c r="AJ227" s="161">
        <f t="shared" si="152"/>
        <v>56.50000000000006</v>
      </c>
      <c r="AK227" s="161">
        <f t="shared" si="152"/>
        <v>27.650000000000006</v>
      </c>
      <c r="AL227" s="161">
        <f t="shared" si="152"/>
        <v>0</v>
      </c>
      <c r="AM227" s="161">
        <f t="shared" si="152"/>
        <v>-63.3</v>
      </c>
      <c r="AN227" s="161">
        <f t="shared" si="152"/>
        <v>-13</v>
      </c>
      <c r="AO227" s="161">
        <f t="shared" si="152"/>
        <v>-11.350000000000001</v>
      </c>
      <c r="AP227" s="161">
        <f t="shared" si="152"/>
        <v>-3.3999999999999986</v>
      </c>
      <c r="AQ227" s="65">
        <f t="shared" si="152"/>
        <v>0</v>
      </c>
      <c r="AZ227" s="65">
        <f>AZ218-AQ218</f>
        <v>0</v>
      </c>
    </row>
    <row r="228" spans="1:52" s="130" customFormat="1" ht="12" customHeight="1" hidden="1" outlineLevel="1">
      <c r="A228" s="10"/>
      <c r="B228" s="46"/>
      <c r="C228" s="46"/>
      <c r="D228" s="46"/>
      <c r="E228" s="43" t="s">
        <v>649</v>
      </c>
      <c r="F228" s="44"/>
      <c r="G228" s="43"/>
      <c r="H228" s="49"/>
      <c r="I228" s="262"/>
      <c r="J228" s="49"/>
      <c r="K228" s="49"/>
      <c r="L228" s="49"/>
      <c r="M228" s="49"/>
      <c r="N228" s="49"/>
      <c r="O228" s="49"/>
      <c r="P228" s="49"/>
      <c r="Q228" s="49"/>
      <c r="R228" s="49"/>
      <c r="S228" s="84"/>
      <c r="T228" s="49"/>
      <c r="U228" s="49"/>
      <c r="V228" s="49"/>
      <c r="W228" s="49"/>
      <c r="X228" s="49"/>
      <c r="Y228" s="49"/>
      <c r="Z228" s="65">
        <f>Z218-H218</f>
        <v>-519.4500000000002</v>
      </c>
      <c r="AA228" s="65">
        <f aca="true" t="shared" si="153" ref="AA228:AH228">AA218-I218</f>
        <v>-254.5</v>
      </c>
      <c r="AB228" s="65">
        <f t="shared" si="153"/>
        <v>-40.599999999999966</v>
      </c>
      <c r="AC228" s="65">
        <f t="shared" si="153"/>
        <v>0</v>
      </c>
      <c r="AD228" s="65">
        <f t="shared" si="153"/>
        <v>-116</v>
      </c>
      <c r="AE228" s="65">
        <f t="shared" si="153"/>
        <v>-29</v>
      </c>
      <c r="AF228" s="65">
        <f t="shared" si="153"/>
        <v>-53.35</v>
      </c>
      <c r="AG228" s="65">
        <f t="shared" si="153"/>
        <v>-26</v>
      </c>
      <c r="AH228" s="65">
        <f t="shared" si="153"/>
        <v>0</v>
      </c>
      <c r="AI228" s="514"/>
      <c r="AJ228" s="514"/>
      <c r="AK228" s="514"/>
      <c r="AL228" s="514"/>
      <c r="AM228" s="514"/>
      <c r="AN228" s="514"/>
      <c r="AO228" s="514"/>
      <c r="AP228" s="514"/>
      <c r="AQ228" s="65">
        <f>AQ218-Y218</f>
        <v>0</v>
      </c>
      <c r="AZ228" s="65">
        <f>AZ218-AH218</f>
        <v>0</v>
      </c>
    </row>
    <row r="229" spans="1:133" s="56" customFormat="1" ht="12" customHeight="1" collapsed="1">
      <c r="A229" s="88">
        <v>27</v>
      </c>
      <c r="B229" s="106" t="s">
        <v>482</v>
      </c>
      <c r="C229" s="211" t="s">
        <v>744</v>
      </c>
      <c r="D229" s="106"/>
      <c r="E229" s="102" t="s">
        <v>480</v>
      </c>
      <c r="F229" s="115">
        <f>SUM(F230:F236)</f>
        <v>189</v>
      </c>
      <c r="G229" s="115">
        <f>SUM(G230:G236)</f>
        <v>54.590909090909086</v>
      </c>
      <c r="H229" s="111">
        <f aca="true" t="shared" si="154" ref="H229:O229">SUM(H230:H236)</f>
        <v>793.5</v>
      </c>
      <c r="I229" s="259">
        <f t="shared" si="154"/>
        <v>447.5</v>
      </c>
      <c r="J229" s="111">
        <f t="shared" si="154"/>
        <v>57.5</v>
      </c>
      <c r="K229" s="111">
        <f t="shared" si="154"/>
        <v>18</v>
      </c>
      <c r="L229" s="111">
        <f t="shared" si="154"/>
        <v>133</v>
      </c>
      <c r="M229" s="111">
        <f t="shared" si="154"/>
        <v>57.5</v>
      </c>
      <c r="N229" s="111">
        <f t="shared" si="154"/>
        <v>42.5</v>
      </c>
      <c r="O229" s="111">
        <f t="shared" si="154"/>
        <v>37.5</v>
      </c>
      <c r="P229" s="111"/>
      <c r="Q229" s="111">
        <f aca="true" t="shared" si="155" ref="Q229:Y229">SUM(Q230:Q236)</f>
        <v>793.5</v>
      </c>
      <c r="R229" s="111">
        <f t="shared" si="155"/>
        <v>447.5</v>
      </c>
      <c r="S229" s="111">
        <f t="shared" si="155"/>
        <v>57.5</v>
      </c>
      <c r="T229" s="111">
        <f t="shared" si="155"/>
        <v>18</v>
      </c>
      <c r="U229" s="111">
        <f t="shared" si="155"/>
        <v>133</v>
      </c>
      <c r="V229" s="111">
        <f t="shared" si="155"/>
        <v>57.5</v>
      </c>
      <c r="W229" s="111">
        <f t="shared" si="155"/>
        <v>42.5</v>
      </c>
      <c r="X229" s="111">
        <f t="shared" si="155"/>
        <v>37.5</v>
      </c>
      <c r="Y229" s="111">
        <f t="shared" si="155"/>
        <v>0</v>
      </c>
      <c r="Z229" s="111">
        <f aca="true" t="shared" si="156" ref="Z229:AH229">SUM(Z230:Z236)</f>
        <v>793.5</v>
      </c>
      <c r="AA229" s="111">
        <f t="shared" si="156"/>
        <v>123.5</v>
      </c>
      <c r="AB229" s="111">
        <f t="shared" si="156"/>
        <v>381.5</v>
      </c>
      <c r="AC229" s="111">
        <f t="shared" si="156"/>
        <v>18</v>
      </c>
      <c r="AD229" s="111">
        <f t="shared" si="156"/>
        <v>133</v>
      </c>
      <c r="AE229" s="111">
        <f t="shared" si="156"/>
        <v>57.5</v>
      </c>
      <c r="AF229" s="111">
        <f t="shared" si="156"/>
        <v>42.5</v>
      </c>
      <c r="AG229" s="111">
        <f t="shared" si="156"/>
        <v>37.5</v>
      </c>
      <c r="AH229" s="111">
        <f t="shared" si="156"/>
        <v>39.5</v>
      </c>
      <c r="AI229" s="693">
        <f>SUM(AJ229:AP229)</f>
        <v>793.5</v>
      </c>
      <c r="AJ229" s="693">
        <f>SUM(AJ230:AJ236)</f>
        <v>447.5</v>
      </c>
      <c r="AK229" s="693">
        <f aca="true" t="shared" si="157" ref="AK229:AP229">SUM(AK230:AK236)</f>
        <v>57.5</v>
      </c>
      <c r="AL229" s="693">
        <f t="shared" si="157"/>
        <v>18</v>
      </c>
      <c r="AM229" s="693">
        <f t="shared" si="157"/>
        <v>133</v>
      </c>
      <c r="AN229" s="693">
        <f t="shared" si="157"/>
        <v>57.5</v>
      </c>
      <c r="AO229" s="693">
        <f t="shared" si="157"/>
        <v>42.5</v>
      </c>
      <c r="AP229" s="693">
        <f t="shared" si="157"/>
        <v>37.5</v>
      </c>
      <c r="AQ229" s="93"/>
      <c r="AR229" s="693">
        <f>SUM(AS229:AY229)</f>
        <v>793.5</v>
      </c>
      <c r="AS229" s="693">
        <f>SUM(AS230:AS236)</f>
        <v>500</v>
      </c>
      <c r="AT229" s="693">
        <f aca="true" t="shared" si="158" ref="AT229:AY229">SUM(AT230:AT236)</f>
        <v>91.5</v>
      </c>
      <c r="AU229" s="693">
        <f t="shared" si="158"/>
        <v>18</v>
      </c>
      <c r="AV229" s="693">
        <f t="shared" si="158"/>
        <v>80</v>
      </c>
      <c r="AW229" s="693">
        <f t="shared" si="158"/>
        <v>24.5</v>
      </c>
      <c r="AX229" s="693">
        <f t="shared" si="158"/>
        <v>42</v>
      </c>
      <c r="AY229" s="693">
        <f t="shared" si="158"/>
        <v>37.5</v>
      </c>
      <c r="AZ229" s="93"/>
      <c r="BA229" s="11"/>
      <c r="BB229" s="11"/>
      <c r="BC229" s="11"/>
      <c r="BD229" s="11"/>
      <c r="BE229" s="60"/>
      <c r="BF229" s="59"/>
      <c r="BG229" s="58"/>
      <c r="BH229" s="59"/>
      <c r="BI229" s="57"/>
      <c r="BJ229" s="60"/>
      <c r="BK229" s="59"/>
      <c r="BL229" s="93"/>
      <c r="BM229" s="61"/>
      <c r="BN229" s="61"/>
      <c r="BO229" s="59"/>
      <c r="BP229" s="18"/>
      <c r="BQ229" s="39"/>
      <c r="BR229" s="12"/>
      <c r="BS229" s="12"/>
      <c r="BT229" s="32"/>
      <c r="BU229" s="14"/>
      <c r="BV229" s="28"/>
      <c r="BW229" s="28"/>
      <c r="BX229" s="14"/>
      <c r="BY229" s="29"/>
      <c r="BZ229" s="14"/>
      <c r="CA229" s="16"/>
      <c r="CB229" s="31"/>
      <c r="CC229" s="13"/>
      <c r="CD229" s="28"/>
      <c r="CE229" s="13"/>
      <c r="CF229" s="17"/>
      <c r="CG229" s="5"/>
      <c r="CH229" s="22"/>
      <c r="CI229" s="22"/>
      <c r="CJ229" s="22"/>
      <c r="CK229" s="22"/>
      <c r="CL229" s="22"/>
      <c r="CM229" s="22"/>
      <c r="CN229" s="14"/>
      <c r="CO229" s="22"/>
      <c r="CP229" s="22"/>
      <c r="CQ229" s="22"/>
      <c r="CR229" s="22"/>
      <c r="CS229" s="22"/>
      <c r="CT229" s="22"/>
      <c r="CU229" s="30"/>
      <c r="CV229" s="22"/>
      <c r="CW229" s="22"/>
      <c r="CX229" s="22"/>
      <c r="CY229" s="22"/>
      <c r="CZ229" s="22"/>
      <c r="DA229" s="22"/>
      <c r="DB229" s="22"/>
      <c r="DC229" s="35"/>
      <c r="DD229" s="37"/>
      <c r="DE229" s="22"/>
      <c r="DF229" s="5"/>
      <c r="DG229" s="36"/>
      <c r="DH229" s="22"/>
      <c r="DI229" s="14"/>
      <c r="DJ229" s="14"/>
      <c r="DK229" s="23"/>
      <c r="DL229" s="19"/>
      <c r="DM229" s="19"/>
      <c r="DN229" s="15"/>
      <c r="DO229" s="131"/>
      <c r="DQ229" s="74"/>
      <c r="DR229" s="94"/>
      <c r="DS229" s="132"/>
      <c r="DT229" s="75"/>
      <c r="DU229" s="94"/>
      <c r="DV229" s="133"/>
      <c r="DW229" s="94"/>
      <c r="DX229" s="62"/>
      <c r="DZ229" s="75"/>
      <c r="EC229" s="62"/>
    </row>
    <row r="230" spans="1:51" s="130" customFormat="1" ht="12" customHeight="1" hidden="1" outlineLevel="1">
      <c r="A230" s="10"/>
      <c r="B230" s="46"/>
      <c r="C230" s="186" t="s">
        <v>711</v>
      </c>
      <c r="D230" s="107"/>
      <c r="E230" s="81">
        <v>1</v>
      </c>
      <c r="F230" s="196">
        <v>9</v>
      </c>
      <c r="G230" s="203">
        <f>181/22</f>
        <v>8.227272727272727</v>
      </c>
      <c r="H230" s="80">
        <f>SUM(I230:P230)</f>
        <v>30.5</v>
      </c>
      <c r="I230" s="263">
        <v>20</v>
      </c>
      <c r="J230" s="108">
        <v>6</v>
      </c>
      <c r="K230" s="108"/>
      <c r="L230" s="108"/>
      <c r="M230" s="108">
        <v>3</v>
      </c>
      <c r="N230" s="108"/>
      <c r="O230" s="109">
        <v>1.5</v>
      </c>
      <c r="P230" s="109"/>
      <c r="Q230" s="112">
        <f>SUM(R230:X230)</f>
        <v>30.5</v>
      </c>
      <c r="R230" s="206">
        <v>20</v>
      </c>
      <c r="S230" s="206">
        <v>6</v>
      </c>
      <c r="T230" s="206"/>
      <c r="U230" s="206"/>
      <c r="V230" s="206">
        <v>3</v>
      </c>
      <c r="W230" s="206"/>
      <c r="X230" s="206">
        <v>1.5</v>
      </c>
      <c r="Y230" s="112"/>
      <c r="Z230" s="112">
        <f>SUM(AA230:AG230)</f>
        <v>30.5</v>
      </c>
      <c r="AA230" s="206">
        <v>20</v>
      </c>
      <c r="AB230" s="206">
        <v>6</v>
      </c>
      <c r="AC230" s="206"/>
      <c r="AD230" s="206"/>
      <c r="AE230" s="206">
        <v>3</v>
      </c>
      <c r="AF230" s="206"/>
      <c r="AG230" s="206">
        <v>1.5</v>
      </c>
      <c r="AH230" s="112"/>
      <c r="AI230" s="692">
        <f aca="true" t="shared" si="159" ref="AI230:AI236">SUM(AJ230:AP230)</f>
        <v>30.5</v>
      </c>
      <c r="AJ230" s="691">
        <v>20</v>
      </c>
      <c r="AK230" s="691">
        <v>6</v>
      </c>
      <c r="AL230" s="691"/>
      <c r="AM230" s="691"/>
      <c r="AN230" s="691">
        <v>3</v>
      </c>
      <c r="AO230" s="691"/>
      <c r="AP230" s="691">
        <v>1.5</v>
      </c>
      <c r="AR230" s="692">
        <f aca="true" t="shared" si="160" ref="AR230:AR236">SUM(AS230:AY230)</f>
        <v>30.5</v>
      </c>
      <c r="AS230" s="691">
        <v>20</v>
      </c>
      <c r="AT230" s="691">
        <v>6</v>
      </c>
      <c r="AU230" s="691"/>
      <c r="AV230" s="691"/>
      <c r="AW230" s="691">
        <v>3</v>
      </c>
      <c r="AX230" s="691"/>
      <c r="AY230" s="691">
        <v>1.5</v>
      </c>
    </row>
    <row r="231" spans="1:51" s="130" customFormat="1" ht="12" customHeight="1" hidden="1" outlineLevel="1">
      <c r="A231" s="10"/>
      <c r="B231" s="46"/>
      <c r="C231" s="188" t="s">
        <v>712</v>
      </c>
      <c r="D231" s="100"/>
      <c r="E231" s="81">
        <v>2</v>
      </c>
      <c r="F231" s="196">
        <v>9</v>
      </c>
      <c r="G231" s="203">
        <f>181/22</f>
        <v>8.227272727272727</v>
      </c>
      <c r="H231" s="80">
        <f>SUM(I231:P231)</f>
        <v>35.5</v>
      </c>
      <c r="I231" s="262">
        <v>20</v>
      </c>
      <c r="J231" s="108">
        <v>6</v>
      </c>
      <c r="K231" s="108">
        <v>6</v>
      </c>
      <c r="L231" s="108"/>
      <c r="M231" s="108">
        <v>2</v>
      </c>
      <c r="N231" s="108"/>
      <c r="O231" s="109">
        <v>1.5</v>
      </c>
      <c r="P231" s="109"/>
      <c r="Q231" s="112">
        <f aca="true" t="shared" si="161" ref="Q231:Q236">SUM(R231:X231)</f>
        <v>35.5</v>
      </c>
      <c r="R231" s="108">
        <v>20</v>
      </c>
      <c r="S231" s="108">
        <v>6</v>
      </c>
      <c r="T231" s="108">
        <v>6</v>
      </c>
      <c r="U231" s="108"/>
      <c r="V231" s="108">
        <v>2</v>
      </c>
      <c r="W231" s="108"/>
      <c r="X231" s="109">
        <v>1.5</v>
      </c>
      <c r="Y231" s="109"/>
      <c r="Z231" s="112">
        <f aca="true" t="shared" si="162" ref="Z231:Z236">SUM(AA231:AG231)</f>
        <v>35.5</v>
      </c>
      <c r="AA231" s="108">
        <v>20</v>
      </c>
      <c r="AB231" s="108">
        <v>6</v>
      </c>
      <c r="AC231" s="108">
        <v>6</v>
      </c>
      <c r="AD231" s="108"/>
      <c r="AE231" s="108">
        <v>2</v>
      </c>
      <c r="AF231" s="108"/>
      <c r="AG231" s="109">
        <v>1.5</v>
      </c>
      <c r="AH231" s="109"/>
      <c r="AI231" s="692">
        <f t="shared" si="159"/>
        <v>35.5</v>
      </c>
      <c r="AJ231" s="691">
        <v>20</v>
      </c>
      <c r="AK231" s="691">
        <v>6</v>
      </c>
      <c r="AL231" s="691">
        <v>6</v>
      </c>
      <c r="AM231" s="691"/>
      <c r="AN231" s="691">
        <v>2</v>
      </c>
      <c r="AO231" s="691"/>
      <c r="AP231" s="691">
        <v>1.5</v>
      </c>
      <c r="AR231" s="692">
        <f t="shared" si="160"/>
        <v>35.5</v>
      </c>
      <c r="AS231" s="691">
        <v>20</v>
      </c>
      <c r="AT231" s="691">
        <v>6</v>
      </c>
      <c r="AU231" s="691">
        <v>6</v>
      </c>
      <c r="AV231" s="691"/>
      <c r="AW231" s="691">
        <v>2</v>
      </c>
      <c r="AX231" s="691"/>
      <c r="AY231" s="691">
        <v>1.5</v>
      </c>
    </row>
    <row r="232" spans="1:51" s="130" customFormat="1" ht="12" customHeight="1" hidden="1" outlineLevel="1">
      <c r="A232" s="10"/>
      <c r="B232" s="46"/>
      <c r="C232" s="189">
        <f>Z229*0.5</f>
        <v>396.75</v>
      </c>
      <c r="D232" s="96"/>
      <c r="E232" s="81">
        <v>3</v>
      </c>
      <c r="F232" s="196">
        <v>12</v>
      </c>
      <c r="G232" s="203">
        <f>235/22</f>
        <v>10.681818181818182</v>
      </c>
      <c r="H232" s="80">
        <f>SUM(I232:P232)</f>
        <v>39</v>
      </c>
      <c r="I232" s="262">
        <v>25</v>
      </c>
      <c r="J232" s="108">
        <v>10</v>
      </c>
      <c r="K232" s="108"/>
      <c r="L232" s="108"/>
      <c r="M232" s="108">
        <v>2</v>
      </c>
      <c r="N232" s="108"/>
      <c r="O232" s="109">
        <v>2</v>
      </c>
      <c r="P232" s="109"/>
      <c r="Q232" s="112">
        <f t="shared" si="161"/>
        <v>39</v>
      </c>
      <c r="R232" s="108">
        <v>25</v>
      </c>
      <c r="S232" s="108">
        <v>10</v>
      </c>
      <c r="T232" s="108"/>
      <c r="U232" s="108"/>
      <c r="V232" s="108">
        <v>2</v>
      </c>
      <c r="W232" s="108"/>
      <c r="X232" s="109">
        <v>2</v>
      </c>
      <c r="Y232" s="109"/>
      <c r="Z232" s="112">
        <f t="shared" si="162"/>
        <v>39</v>
      </c>
      <c r="AA232" s="108">
        <v>25</v>
      </c>
      <c r="AB232" s="108">
        <v>10</v>
      </c>
      <c r="AC232" s="108"/>
      <c r="AD232" s="108"/>
      <c r="AE232" s="108">
        <v>2</v>
      </c>
      <c r="AF232" s="108"/>
      <c r="AG232" s="109">
        <v>2</v>
      </c>
      <c r="AH232" s="109"/>
      <c r="AI232" s="692">
        <f t="shared" si="159"/>
        <v>39</v>
      </c>
      <c r="AJ232" s="691">
        <v>25</v>
      </c>
      <c r="AK232" s="691">
        <v>10</v>
      </c>
      <c r="AL232" s="691"/>
      <c r="AM232" s="691"/>
      <c r="AN232" s="691">
        <v>2</v>
      </c>
      <c r="AO232" s="691"/>
      <c r="AP232" s="691">
        <v>2</v>
      </c>
      <c r="AR232" s="692">
        <f t="shared" si="160"/>
        <v>37</v>
      </c>
      <c r="AS232" s="691">
        <v>25</v>
      </c>
      <c r="AT232" s="691">
        <v>8</v>
      </c>
      <c r="AU232" s="691"/>
      <c r="AV232" s="691"/>
      <c r="AW232" s="691">
        <v>2</v>
      </c>
      <c r="AX232" s="691"/>
      <c r="AY232" s="691">
        <v>2</v>
      </c>
    </row>
    <row r="233" spans="1:51" s="130" customFormat="1" ht="12" customHeight="1" hidden="1" outlineLevel="1">
      <c r="A233" s="10"/>
      <c r="B233" s="46"/>
      <c r="C233" s="189">
        <f>Z229-C232</f>
        <v>396.75</v>
      </c>
      <c r="D233" s="96"/>
      <c r="E233" s="81">
        <v>4</v>
      </c>
      <c r="F233" s="196">
        <v>9</v>
      </c>
      <c r="G233" s="203">
        <f>179/22</f>
        <v>8.136363636363637</v>
      </c>
      <c r="H233" s="80">
        <f>SUM(I233:P233)</f>
        <v>212.5</v>
      </c>
      <c r="I233" s="262">
        <v>18</v>
      </c>
      <c r="J233" s="108">
        <v>10</v>
      </c>
      <c r="K233" s="108">
        <v>10</v>
      </c>
      <c r="L233" s="108">
        <v>128</v>
      </c>
      <c r="M233" s="108">
        <v>20.5</v>
      </c>
      <c r="N233" s="108">
        <v>15.5</v>
      </c>
      <c r="O233" s="109">
        <v>10.5</v>
      </c>
      <c r="P233" s="109"/>
      <c r="Q233" s="112">
        <f t="shared" si="161"/>
        <v>212.5</v>
      </c>
      <c r="R233" s="197">
        <v>18</v>
      </c>
      <c r="S233" s="108">
        <v>10</v>
      </c>
      <c r="T233" s="197">
        <v>10</v>
      </c>
      <c r="U233" s="108">
        <v>128</v>
      </c>
      <c r="V233" s="207">
        <v>20.5</v>
      </c>
      <c r="W233" s="108">
        <v>15.5</v>
      </c>
      <c r="X233" s="109">
        <v>10.5</v>
      </c>
      <c r="Y233" s="109"/>
      <c r="Z233" s="112">
        <f t="shared" si="162"/>
        <v>212.5</v>
      </c>
      <c r="AA233" s="197">
        <v>18</v>
      </c>
      <c r="AB233" s="108">
        <v>10</v>
      </c>
      <c r="AC233" s="197">
        <v>10</v>
      </c>
      <c r="AD233" s="108">
        <v>128</v>
      </c>
      <c r="AE233" s="197">
        <v>20.5</v>
      </c>
      <c r="AF233" s="108">
        <v>15.5</v>
      </c>
      <c r="AG233" s="109">
        <v>10.5</v>
      </c>
      <c r="AH233" s="109"/>
      <c r="AI233" s="692">
        <f t="shared" si="159"/>
        <v>212.5</v>
      </c>
      <c r="AJ233" s="691">
        <v>18</v>
      </c>
      <c r="AK233" s="691">
        <v>10</v>
      </c>
      <c r="AL233" s="691">
        <v>10</v>
      </c>
      <c r="AM233" s="691">
        <v>128</v>
      </c>
      <c r="AN233" s="691">
        <v>20.5</v>
      </c>
      <c r="AO233" s="691">
        <v>15.5</v>
      </c>
      <c r="AP233" s="691">
        <v>10.5</v>
      </c>
      <c r="AR233" s="692">
        <f t="shared" si="160"/>
        <v>282</v>
      </c>
      <c r="AS233" s="691">
        <v>145</v>
      </c>
      <c r="AT233" s="691">
        <v>21.5</v>
      </c>
      <c r="AU233" s="691">
        <v>10</v>
      </c>
      <c r="AV233" s="691">
        <v>75</v>
      </c>
      <c r="AW233" s="691">
        <v>3</v>
      </c>
      <c r="AX233" s="691">
        <v>15</v>
      </c>
      <c r="AY233" s="691">
        <v>12.5</v>
      </c>
    </row>
    <row r="234" spans="1:51" s="130" customFormat="1" ht="12" customHeight="1" hidden="1" outlineLevel="1">
      <c r="A234" s="10"/>
      <c r="B234" s="46"/>
      <c r="C234" s="186" t="s">
        <v>714</v>
      </c>
      <c r="D234" s="46"/>
      <c r="E234" s="81">
        <v>5</v>
      </c>
      <c r="F234" s="196">
        <v>140</v>
      </c>
      <c r="G234" s="203">
        <f>(2813-2581)/22</f>
        <v>10.545454545454545</v>
      </c>
      <c r="H234" s="80">
        <f>SUM(I234:P234)</f>
        <v>425</v>
      </c>
      <c r="I234" s="262">
        <v>345</v>
      </c>
      <c r="J234" s="108">
        <v>15</v>
      </c>
      <c r="K234" s="108"/>
      <c r="L234" s="108"/>
      <c r="M234" s="108">
        <v>25</v>
      </c>
      <c r="N234" s="108">
        <v>25</v>
      </c>
      <c r="O234" s="109">
        <v>15</v>
      </c>
      <c r="P234" s="109"/>
      <c r="Q234" s="112">
        <f t="shared" si="161"/>
        <v>425</v>
      </c>
      <c r="R234" s="208">
        <v>345</v>
      </c>
      <c r="S234" s="208">
        <v>15</v>
      </c>
      <c r="T234" s="208"/>
      <c r="U234" s="208"/>
      <c r="V234" s="209">
        <v>25</v>
      </c>
      <c r="W234" s="198">
        <v>25</v>
      </c>
      <c r="X234" s="199">
        <v>15</v>
      </c>
      <c r="Y234" s="199"/>
      <c r="Z234" s="112">
        <f t="shared" si="162"/>
        <v>425</v>
      </c>
      <c r="AA234" s="210">
        <f>8.1+1.5+11.4</f>
        <v>21</v>
      </c>
      <c r="AB234" s="210">
        <f>15+324</f>
        <v>339</v>
      </c>
      <c r="AC234" s="208"/>
      <c r="AD234" s="208"/>
      <c r="AE234" s="208">
        <v>25</v>
      </c>
      <c r="AF234" s="208">
        <v>25</v>
      </c>
      <c r="AG234" s="212">
        <v>15</v>
      </c>
      <c r="AH234" s="199"/>
      <c r="AI234" s="692">
        <f t="shared" si="159"/>
        <v>425</v>
      </c>
      <c r="AJ234" s="691">
        <v>345</v>
      </c>
      <c r="AK234" s="691">
        <v>15</v>
      </c>
      <c r="AL234" s="691"/>
      <c r="AM234" s="691"/>
      <c r="AN234" s="691">
        <v>25</v>
      </c>
      <c r="AO234" s="691">
        <v>25</v>
      </c>
      <c r="AP234" s="691">
        <v>15</v>
      </c>
      <c r="AR234" s="692">
        <f t="shared" si="160"/>
        <v>336</v>
      </c>
      <c r="AS234" s="691">
        <v>270</v>
      </c>
      <c r="AT234" s="691">
        <v>21</v>
      </c>
      <c r="AU234" s="691"/>
      <c r="AV234" s="691"/>
      <c r="AW234" s="691">
        <v>3</v>
      </c>
      <c r="AX234" s="691">
        <v>25</v>
      </c>
      <c r="AY234" s="691">
        <v>17</v>
      </c>
    </row>
    <row r="235" spans="1:51" s="130" customFormat="1" ht="12" customHeight="1" hidden="1" outlineLevel="1">
      <c r="A235" s="10"/>
      <c r="B235" s="46"/>
      <c r="C235" s="190" t="s">
        <v>715</v>
      </c>
      <c r="D235" s="105"/>
      <c r="E235" s="81">
        <v>6</v>
      </c>
      <c r="F235" s="196">
        <v>3</v>
      </c>
      <c r="G235" s="203">
        <f>60/22</f>
        <v>2.727272727272727</v>
      </c>
      <c r="H235" s="80">
        <f>SUM(I235:O235)</f>
        <v>11.5</v>
      </c>
      <c r="I235" s="262">
        <v>7.5</v>
      </c>
      <c r="J235" s="108"/>
      <c r="K235" s="108"/>
      <c r="L235" s="108"/>
      <c r="M235" s="108">
        <v>2</v>
      </c>
      <c r="N235" s="108"/>
      <c r="O235" s="109">
        <v>2</v>
      </c>
      <c r="P235" s="109"/>
      <c r="Q235" s="112">
        <f t="shared" si="161"/>
        <v>11.5</v>
      </c>
      <c r="R235" s="108">
        <v>7.5</v>
      </c>
      <c r="S235" s="108"/>
      <c r="T235" s="108"/>
      <c r="U235" s="108"/>
      <c r="V235" s="108">
        <v>2</v>
      </c>
      <c r="W235" s="108"/>
      <c r="X235" s="109">
        <v>2</v>
      </c>
      <c r="Y235" s="109"/>
      <c r="Z235" s="112">
        <f t="shared" si="162"/>
        <v>11.5</v>
      </c>
      <c r="AA235" s="108">
        <v>7.5</v>
      </c>
      <c r="AB235" s="108"/>
      <c r="AC235" s="108"/>
      <c r="AD235" s="108"/>
      <c r="AE235" s="108">
        <v>2</v>
      </c>
      <c r="AF235" s="108"/>
      <c r="AG235" s="109">
        <v>2</v>
      </c>
      <c r="AH235" s="109"/>
      <c r="AI235" s="692">
        <f t="shared" si="159"/>
        <v>11.5</v>
      </c>
      <c r="AJ235" s="691">
        <v>7.5</v>
      </c>
      <c r="AK235" s="691"/>
      <c r="AL235" s="691"/>
      <c r="AM235" s="691"/>
      <c r="AN235" s="691">
        <v>2</v>
      </c>
      <c r="AO235" s="691"/>
      <c r="AP235" s="691">
        <v>2</v>
      </c>
      <c r="AR235" s="692">
        <f t="shared" si="160"/>
        <v>35</v>
      </c>
      <c r="AS235" s="691">
        <v>10</v>
      </c>
      <c r="AT235" s="691">
        <v>14.5</v>
      </c>
      <c r="AU235" s="691"/>
      <c r="AV235" s="691"/>
      <c r="AW235" s="691">
        <v>8.5</v>
      </c>
      <c r="AX235" s="691"/>
      <c r="AY235" s="691">
        <v>2</v>
      </c>
    </row>
    <row r="236" spans="1:51" s="130" customFormat="1" ht="12" customHeight="1" hidden="1" outlineLevel="1">
      <c r="A236" s="10"/>
      <c r="B236" s="46"/>
      <c r="C236" s="186" t="s">
        <v>716</v>
      </c>
      <c r="D236" s="46"/>
      <c r="E236" s="81">
        <v>7</v>
      </c>
      <c r="F236" s="196">
        <v>7</v>
      </c>
      <c r="G236" s="203">
        <f>133/22</f>
        <v>6.045454545454546</v>
      </c>
      <c r="H236" s="80">
        <f>SUM(I236:P236)</f>
        <v>39.5</v>
      </c>
      <c r="I236" s="262">
        <v>12</v>
      </c>
      <c r="J236" s="108">
        <v>10.5</v>
      </c>
      <c r="K236" s="108">
        <v>2</v>
      </c>
      <c r="L236" s="108">
        <v>5</v>
      </c>
      <c r="M236" s="108">
        <v>3</v>
      </c>
      <c r="N236" s="108">
        <v>2</v>
      </c>
      <c r="O236" s="109">
        <v>5</v>
      </c>
      <c r="P236" s="109"/>
      <c r="Q236" s="112">
        <f t="shared" si="161"/>
        <v>39.5</v>
      </c>
      <c r="R236" s="108">
        <v>12</v>
      </c>
      <c r="S236" s="108">
        <v>10.5</v>
      </c>
      <c r="T236" s="108">
        <v>2</v>
      </c>
      <c r="U236" s="108">
        <v>5</v>
      </c>
      <c r="V236" s="108">
        <v>3</v>
      </c>
      <c r="W236" s="108">
        <v>2</v>
      </c>
      <c r="X236" s="109">
        <v>5</v>
      </c>
      <c r="Y236" s="109"/>
      <c r="Z236" s="112">
        <f t="shared" si="162"/>
        <v>39.5</v>
      </c>
      <c r="AA236" s="108">
        <v>12</v>
      </c>
      <c r="AB236" s="108">
        <v>10.5</v>
      </c>
      <c r="AC236" s="108">
        <v>2</v>
      </c>
      <c r="AD236" s="108">
        <v>5</v>
      </c>
      <c r="AE236" s="108">
        <v>3</v>
      </c>
      <c r="AF236" s="108">
        <v>2</v>
      </c>
      <c r="AG236" s="109">
        <v>5</v>
      </c>
      <c r="AH236" s="109">
        <f>Z236</f>
        <v>39.5</v>
      </c>
      <c r="AI236" s="692">
        <f t="shared" si="159"/>
        <v>39.5</v>
      </c>
      <c r="AJ236" s="691">
        <v>12</v>
      </c>
      <c r="AK236" s="691">
        <v>10.5</v>
      </c>
      <c r="AL236" s="691">
        <v>2</v>
      </c>
      <c r="AM236" s="691">
        <v>5</v>
      </c>
      <c r="AN236" s="691">
        <v>3</v>
      </c>
      <c r="AO236" s="691">
        <v>2</v>
      </c>
      <c r="AP236" s="691">
        <v>5</v>
      </c>
      <c r="AR236" s="692">
        <f t="shared" si="160"/>
        <v>37.5</v>
      </c>
      <c r="AS236" s="691">
        <v>10</v>
      </c>
      <c r="AT236" s="691">
        <v>14.5</v>
      </c>
      <c r="AU236" s="691">
        <v>2</v>
      </c>
      <c r="AV236" s="691">
        <v>5</v>
      </c>
      <c r="AW236" s="691">
        <v>3</v>
      </c>
      <c r="AX236" s="691">
        <v>2</v>
      </c>
      <c r="AY236" s="691">
        <v>1</v>
      </c>
    </row>
    <row r="237" spans="1:42" s="129" customFormat="1" ht="12" customHeight="1" hidden="1" outlineLevel="1">
      <c r="A237" s="98"/>
      <c r="B237" s="46"/>
      <c r="C237" s="46"/>
      <c r="D237" s="46"/>
      <c r="E237" s="81" t="s">
        <v>471</v>
      </c>
      <c r="F237" s="126"/>
      <c r="H237" s="99">
        <f>H229/$H$229</f>
        <v>1</v>
      </c>
      <c r="I237" s="261">
        <f aca="true" t="shared" si="163" ref="I237:P237">I229/$H$229</f>
        <v>0.5639571518588532</v>
      </c>
      <c r="J237" s="99">
        <f t="shared" si="163"/>
        <v>0.07246376811594203</v>
      </c>
      <c r="K237" s="99">
        <f t="shared" si="163"/>
        <v>0.022684310018903593</v>
      </c>
      <c r="L237" s="99">
        <f t="shared" si="163"/>
        <v>0.16761184625078765</v>
      </c>
      <c r="M237" s="99">
        <f t="shared" si="163"/>
        <v>0.07246376811594203</v>
      </c>
      <c r="N237" s="99">
        <f t="shared" si="163"/>
        <v>0.05356017643352237</v>
      </c>
      <c r="O237" s="99">
        <f t="shared" si="163"/>
        <v>0.04725897920604915</v>
      </c>
      <c r="P237" s="99">
        <f t="shared" si="163"/>
        <v>0</v>
      </c>
      <c r="Q237" s="99">
        <f>Q229/$Q$229</f>
        <v>1</v>
      </c>
      <c r="R237" s="99">
        <f aca="true" t="shared" si="164" ref="R237:X237">R229/$Q$229</f>
        <v>0.5639571518588532</v>
      </c>
      <c r="S237" s="99">
        <f t="shared" si="164"/>
        <v>0.07246376811594203</v>
      </c>
      <c r="T237" s="99">
        <f t="shared" si="164"/>
        <v>0.022684310018903593</v>
      </c>
      <c r="U237" s="99">
        <f t="shared" si="164"/>
        <v>0.16761184625078765</v>
      </c>
      <c r="V237" s="99">
        <f t="shared" si="164"/>
        <v>0.07246376811594203</v>
      </c>
      <c r="W237" s="99">
        <f t="shared" si="164"/>
        <v>0.05356017643352237</v>
      </c>
      <c r="X237" s="99">
        <f t="shared" si="164"/>
        <v>0.04725897920604915</v>
      </c>
      <c r="Y237" s="99"/>
      <c r="Z237" s="99">
        <f>Z229/$Z$229</f>
        <v>1</v>
      </c>
      <c r="AA237" s="99">
        <f aca="true" t="shared" si="165" ref="AA237:AH237">AA229/$Z$229</f>
        <v>0.15563957151858854</v>
      </c>
      <c r="AB237" s="99">
        <f t="shared" si="165"/>
        <v>0.4807813484562067</v>
      </c>
      <c r="AC237" s="99">
        <f t="shared" si="165"/>
        <v>0.022684310018903593</v>
      </c>
      <c r="AD237" s="99">
        <f t="shared" si="165"/>
        <v>0.16761184625078765</v>
      </c>
      <c r="AE237" s="99">
        <f t="shared" si="165"/>
        <v>0.07246376811594203</v>
      </c>
      <c r="AF237" s="99">
        <f t="shared" si="165"/>
        <v>0.05356017643352237</v>
      </c>
      <c r="AG237" s="99">
        <f t="shared" si="165"/>
        <v>0.04725897920604915</v>
      </c>
      <c r="AH237" s="99">
        <f t="shared" si="165"/>
        <v>0.04977945809703844</v>
      </c>
      <c r="AP237" s="813">
        <f>+AP229/AI229</f>
        <v>0.04725897920604915</v>
      </c>
    </row>
    <row r="238" spans="1:44" s="129" customFormat="1" ht="12" customHeight="1" hidden="1" outlineLevel="1">
      <c r="A238" s="98"/>
      <c r="B238" s="46"/>
      <c r="C238" s="46"/>
      <c r="D238" s="46"/>
      <c r="E238" s="81" t="s">
        <v>472</v>
      </c>
      <c r="F238" s="126"/>
      <c r="G238" s="81"/>
      <c r="H238" s="99"/>
      <c r="I238" s="261"/>
      <c r="J238" s="99"/>
      <c r="K238" s="99"/>
      <c r="L238" s="99"/>
      <c r="M238" s="99"/>
      <c r="N238" s="99"/>
      <c r="O238" s="99"/>
      <c r="P238" s="99"/>
      <c r="Q238" s="65">
        <f aca="true" t="shared" si="166" ref="Q238:X238">Q229-H229</f>
        <v>0</v>
      </c>
      <c r="R238" s="65">
        <f t="shared" si="166"/>
        <v>0</v>
      </c>
      <c r="S238" s="65">
        <f t="shared" si="166"/>
        <v>0</v>
      </c>
      <c r="T238" s="65">
        <f t="shared" si="166"/>
        <v>0</v>
      </c>
      <c r="U238" s="65">
        <f t="shared" si="166"/>
        <v>0</v>
      </c>
      <c r="V238" s="65">
        <f t="shared" si="166"/>
        <v>0</v>
      </c>
      <c r="W238" s="65">
        <f t="shared" si="166"/>
        <v>0</v>
      </c>
      <c r="X238" s="65">
        <f t="shared" si="166"/>
        <v>0</v>
      </c>
      <c r="Y238" s="65"/>
      <c r="Z238" s="65">
        <f aca="true" t="shared" si="167" ref="Z238:AH238">Z229-Q229</f>
        <v>0</v>
      </c>
      <c r="AA238" s="65">
        <f t="shared" si="167"/>
        <v>-324</v>
      </c>
      <c r="AB238" s="65">
        <f t="shared" si="167"/>
        <v>324</v>
      </c>
      <c r="AC238" s="65">
        <f t="shared" si="167"/>
        <v>0</v>
      </c>
      <c r="AD238" s="65">
        <f t="shared" si="167"/>
        <v>0</v>
      </c>
      <c r="AE238" s="65">
        <f t="shared" si="167"/>
        <v>0</v>
      </c>
      <c r="AF238" s="65">
        <f t="shared" si="167"/>
        <v>0</v>
      </c>
      <c r="AG238" s="65">
        <f t="shared" si="167"/>
        <v>0</v>
      </c>
      <c r="AH238" s="65">
        <f t="shared" si="167"/>
        <v>39.5</v>
      </c>
      <c r="AI238" s="694">
        <f>AI229-Z229</f>
        <v>0</v>
      </c>
      <c r="AR238" s="694">
        <f>AR229-AI229</f>
        <v>0</v>
      </c>
    </row>
    <row r="239" spans="1:34" s="130" customFormat="1" ht="12" customHeight="1" hidden="1" outlineLevel="1">
      <c r="A239" s="10"/>
      <c r="B239" s="46"/>
      <c r="C239" s="46"/>
      <c r="D239" s="46"/>
      <c r="E239" s="43" t="s">
        <v>473</v>
      </c>
      <c r="F239" s="44"/>
      <c r="G239" s="43"/>
      <c r="H239" s="49"/>
      <c r="I239" s="262"/>
      <c r="J239" s="49"/>
      <c r="K239" s="49"/>
      <c r="L239" s="49"/>
      <c r="M239" s="49"/>
      <c r="N239" s="49"/>
      <c r="O239" s="49"/>
      <c r="P239" s="49"/>
      <c r="Q239" s="49"/>
      <c r="R239" s="193" t="s">
        <v>724</v>
      </c>
      <c r="S239" s="84"/>
      <c r="T239" s="49"/>
      <c r="U239" s="193" t="s">
        <v>725</v>
      </c>
      <c r="V239" s="49"/>
      <c r="W239" s="49"/>
      <c r="X239" s="49"/>
      <c r="Y239" s="49"/>
      <c r="Z239" s="65">
        <f>Z229-H229</f>
        <v>0</v>
      </c>
      <c r="AA239" s="65">
        <f aca="true" t="shared" si="168" ref="AA239:AH239">AA229-I229</f>
        <v>-324</v>
      </c>
      <c r="AB239" s="65">
        <f t="shared" si="168"/>
        <v>324</v>
      </c>
      <c r="AC239" s="65">
        <f t="shared" si="168"/>
        <v>0</v>
      </c>
      <c r="AD239" s="65">
        <f t="shared" si="168"/>
        <v>0</v>
      </c>
      <c r="AE239" s="65">
        <f t="shared" si="168"/>
        <v>0</v>
      </c>
      <c r="AF239" s="65">
        <f t="shared" si="168"/>
        <v>0</v>
      </c>
      <c r="AG239" s="65">
        <f t="shared" si="168"/>
        <v>0</v>
      </c>
      <c r="AH239" s="65">
        <f t="shared" si="168"/>
        <v>39.5</v>
      </c>
    </row>
    <row r="240" spans="1:42" s="130" customFormat="1" ht="12" customHeight="1" collapsed="1">
      <c r="A240" s="117">
        <v>28</v>
      </c>
      <c r="B240" s="118" t="s">
        <v>482</v>
      </c>
      <c r="C240" s="194" t="s">
        <v>674</v>
      </c>
      <c r="D240" s="118"/>
      <c r="E240" s="119"/>
      <c r="F240" s="125">
        <f>SUM(F241:F248)</f>
        <v>687</v>
      </c>
      <c r="G240" s="125">
        <f>SUM(G241:G248)</f>
        <v>722</v>
      </c>
      <c r="H240" s="111">
        <f>SUM(H241:H248)</f>
        <v>3842.07</v>
      </c>
      <c r="I240" s="259">
        <f aca="true" t="shared" si="169" ref="I240:P240">SUM(I241:I248)</f>
        <v>2752.4139999999998</v>
      </c>
      <c r="J240" s="111">
        <f t="shared" si="169"/>
        <v>50</v>
      </c>
      <c r="K240" s="111">
        <f t="shared" si="169"/>
        <v>60</v>
      </c>
      <c r="L240" s="111">
        <f t="shared" si="169"/>
        <v>212.5</v>
      </c>
      <c r="M240" s="111">
        <f t="shared" si="169"/>
        <v>363.5</v>
      </c>
      <c r="N240" s="111">
        <f t="shared" si="169"/>
        <v>220.7</v>
      </c>
      <c r="O240" s="111">
        <f t="shared" si="169"/>
        <v>182.956</v>
      </c>
      <c r="P240" s="89">
        <f t="shared" si="169"/>
        <v>0</v>
      </c>
      <c r="Q240" s="111">
        <f aca="true" t="shared" si="170" ref="Q240:AH240">SUM(Q241:Q248)</f>
        <v>3842.07</v>
      </c>
      <c r="R240" s="111">
        <f t="shared" si="170"/>
        <v>2688.6330000000003</v>
      </c>
      <c r="S240" s="111">
        <f t="shared" si="170"/>
        <v>80</v>
      </c>
      <c r="T240" s="111">
        <f t="shared" si="170"/>
        <v>0</v>
      </c>
      <c r="U240" s="111">
        <f t="shared" si="170"/>
        <v>324</v>
      </c>
      <c r="V240" s="111">
        <f t="shared" si="170"/>
        <v>323.381</v>
      </c>
      <c r="W240" s="111">
        <f t="shared" si="170"/>
        <v>243.1</v>
      </c>
      <c r="X240" s="111">
        <f t="shared" si="170"/>
        <v>182.956</v>
      </c>
      <c r="Y240" s="111">
        <f t="shared" si="170"/>
        <v>0</v>
      </c>
      <c r="Z240" s="111">
        <f t="shared" si="170"/>
        <v>3842.07</v>
      </c>
      <c r="AA240" s="111">
        <f t="shared" si="170"/>
        <v>2688.6330000000003</v>
      </c>
      <c r="AB240" s="111">
        <f t="shared" si="170"/>
        <v>80</v>
      </c>
      <c r="AC240" s="111">
        <f t="shared" si="170"/>
        <v>0</v>
      </c>
      <c r="AD240" s="111">
        <f t="shared" si="170"/>
        <v>324</v>
      </c>
      <c r="AE240" s="111">
        <f t="shared" si="170"/>
        <v>323.381</v>
      </c>
      <c r="AF240" s="111">
        <f t="shared" si="170"/>
        <v>243.1</v>
      </c>
      <c r="AG240" s="111">
        <f t="shared" si="170"/>
        <v>182.956</v>
      </c>
      <c r="AH240" s="89">
        <f t="shared" si="170"/>
        <v>0</v>
      </c>
      <c r="AI240" s="727">
        <f>SUM(AJ240:AP240)</f>
        <v>3518.07</v>
      </c>
      <c r="AJ240" s="727">
        <v>2716.199</v>
      </c>
      <c r="AK240" s="727">
        <v>151.417</v>
      </c>
      <c r="AL240" s="727"/>
      <c r="AM240" s="727">
        <v>250</v>
      </c>
      <c r="AN240" s="727"/>
      <c r="AO240" s="727">
        <v>217.498</v>
      </c>
      <c r="AP240" s="727">
        <v>182.956</v>
      </c>
    </row>
    <row r="241" spans="1:34" s="130" customFormat="1" ht="12" customHeight="1" hidden="1" outlineLevel="1">
      <c r="A241" s="10"/>
      <c r="B241" s="46"/>
      <c r="C241" s="180">
        <f>Z240*0.65</f>
        <v>2497.3455000000004</v>
      </c>
      <c r="D241" s="46"/>
      <c r="E241" s="121">
        <v>1</v>
      </c>
      <c r="F241" s="176">
        <v>28</v>
      </c>
      <c r="G241" s="177">
        <v>68</v>
      </c>
      <c r="H241" s="184">
        <f>SUM(I241:O241)</f>
        <v>124.78999999999999</v>
      </c>
      <c r="I241" s="266">
        <v>108.848</v>
      </c>
      <c r="J241" s="159">
        <v>10</v>
      </c>
      <c r="K241" s="178"/>
      <c r="L241" s="178"/>
      <c r="M241" s="178"/>
      <c r="N241" s="178"/>
      <c r="O241" s="159">
        <v>5.942</v>
      </c>
      <c r="P241" s="83"/>
      <c r="Q241" s="112">
        <f aca="true" t="shared" si="171" ref="Q241:Q248">SUM(R241:X241)</f>
        <v>249.74</v>
      </c>
      <c r="R241" s="146">
        <v>227.848</v>
      </c>
      <c r="S241" s="146">
        <v>10</v>
      </c>
      <c r="T241" s="146"/>
      <c r="U241" s="146"/>
      <c r="V241" s="146"/>
      <c r="W241" s="146"/>
      <c r="X241" s="146">
        <v>11.892</v>
      </c>
      <c r="Y241" s="109"/>
      <c r="Z241" s="80">
        <f aca="true" t="shared" si="172" ref="Z241:Z248">SUM(AA241:AG241)</f>
        <v>249.74</v>
      </c>
      <c r="AA241" s="146">
        <v>227.848</v>
      </c>
      <c r="AB241" s="146">
        <v>10</v>
      </c>
      <c r="AC241" s="146"/>
      <c r="AD241" s="146"/>
      <c r="AE241" s="146"/>
      <c r="AF241" s="146"/>
      <c r="AG241" s="146">
        <v>11.892</v>
      </c>
      <c r="AH241" s="109"/>
    </row>
    <row r="242" spans="1:34" s="130" customFormat="1" ht="12" customHeight="1" hidden="1" outlineLevel="1">
      <c r="A242" s="10"/>
      <c r="B242" s="46"/>
      <c r="C242" s="181">
        <f>Z240-C241</f>
        <v>1344.7244999999998</v>
      </c>
      <c r="D242" s="46"/>
      <c r="E242" s="121">
        <v>2</v>
      </c>
      <c r="F242" s="176">
        <v>117</v>
      </c>
      <c r="G242" s="177">
        <v>41</v>
      </c>
      <c r="H242" s="184">
        <f aca="true" t="shared" si="173" ref="H242:H248">SUM(I242:O242)</f>
        <v>537.252</v>
      </c>
      <c r="I242" s="266">
        <v>491.669</v>
      </c>
      <c r="J242" s="159">
        <v>20</v>
      </c>
      <c r="K242" s="178"/>
      <c r="L242" s="159"/>
      <c r="M242" s="159"/>
      <c r="N242" s="159"/>
      <c r="O242" s="159">
        <v>25.583</v>
      </c>
      <c r="P242" s="83"/>
      <c r="Q242" s="112">
        <f t="shared" si="171"/>
        <v>195.696</v>
      </c>
      <c r="R242" s="146">
        <v>166.377</v>
      </c>
      <c r="S242" s="146">
        <v>20</v>
      </c>
      <c r="T242" s="146"/>
      <c r="U242" s="146"/>
      <c r="V242" s="146"/>
      <c r="W242" s="146"/>
      <c r="X242" s="146">
        <v>9.319</v>
      </c>
      <c r="Y242" s="109"/>
      <c r="Z242" s="80">
        <f t="shared" si="172"/>
        <v>195.696</v>
      </c>
      <c r="AA242" s="146">
        <v>166.377</v>
      </c>
      <c r="AB242" s="146">
        <v>20</v>
      </c>
      <c r="AC242" s="146"/>
      <c r="AD242" s="146"/>
      <c r="AE242" s="146"/>
      <c r="AF242" s="146"/>
      <c r="AG242" s="146">
        <v>9.319</v>
      </c>
      <c r="AH242" s="109"/>
    </row>
    <row r="243" spans="1:34" s="130" customFormat="1" ht="12" customHeight="1" hidden="1" outlineLevel="1">
      <c r="A243" s="10"/>
      <c r="B243" s="46"/>
      <c r="C243" s="182">
        <f>Q240*0.65</f>
        <v>2497.3455000000004</v>
      </c>
      <c r="D243" s="96"/>
      <c r="E243" s="121">
        <v>3</v>
      </c>
      <c r="F243" s="176">
        <v>36</v>
      </c>
      <c r="G243" s="177">
        <v>24</v>
      </c>
      <c r="H243" s="184">
        <f t="shared" si="173"/>
        <v>815.878</v>
      </c>
      <c r="I243" s="266">
        <v>132.827</v>
      </c>
      <c r="J243" s="159"/>
      <c r="K243" s="178">
        <v>60</v>
      </c>
      <c r="L243" s="159"/>
      <c r="M243" s="159">
        <v>363.5</v>
      </c>
      <c r="N243" s="159">
        <v>220.7</v>
      </c>
      <c r="O243" s="159">
        <v>38.851</v>
      </c>
      <c r="P243" s="83"/>
      <c r="Q243" s="112">
        <f t="shared" si="171"/>
        <v>990.573</v>
      </c>
      <c r="R243" s="146">
        <v>82.922</v>
      </c>
      <c r="S243" s="146"/>
      <c r="T243" s="146"/>
      <c r="U243" s="146">
        <v>294</v>
      </c>
      <c r="V243" s="146">
        <v>323.381</v>
      </c>
      <c r="W243" s="146">
        <v>243.1</v>
      </c>
      <c r="X243" s="146">
        <v>47.17</v>
      </c>
      <c r="Y243" s="109"/>
      <c r="Z243" s="80">
        <f t="shared" si="172"/>
        <v>990.573</v>
      </c>
      <c r="AA243" s="146">
        <v>82.922</v>
      </c>
      <c r="AB243" s="146"/>
      <c r="AC243" s="146"/>
      <c r="AD243" s="146">
        <v>294</v>
      </c>
      <c r="AE243" s="146">
        <v>323.381</v>
      </c>
      <c r="AF243" s="146">
        <v>243.1</v>
      </c>
      <c r="AG243" s="146">
        <v>47.17</v>
      </c>
      <c r="AH243" s="109"/>
    </row>
    <row r="244" spans="1:34" s="130" customFormat="1" ht="12" customHeight="1" hidden="1" outlineLevel="1">
      <c r="A244" s="10"/>
      <c r="B244" s="46"/>
      <c r="C244" s="181">
        <f>Q240-C243</f>
        <v>1344.7244999999998</v>
      </c>
      <c r="D244" s="46"/>
      <c r="E244" s="121">
        <v>4</v>
      </c>
      <c r="F244" s="176">
        <v>173</v>
      </c>
      <c r="G244" s="177">
        <v>166</v>
      </c>
      <c r="H244" s="184">
        <f t="shared" si="173"/>
        <v>1019.302</v>
      </c>
      <c r="I244" s="266">
        <v>758.264</v>
      </c>
      <c r="J244" s="159"/>
      <c r="K244" s="178"/>
      <c r="L244" s="159">
        <v>212.5</v>
      </c>
      <c r="M244" s="159"/>
      <c r="N244" s="159"/>
      <c r="O244" s="159">
        <v>48.538</v>
      </c>
      <c r="P244" s="83"/>
      <c r="Q244" s="112">
        <f t="shared" si="171"/>
        <v>793.0300000000001</v>
      </c>
      <c r="R244" s="146">
        <v>725.267</v>
      </c>
      <c r="S244" s="146"/>
      <c r="T244" s="146"/>
      <c r="U244" s="146">
        <v>30</v>
      </c>
      <c r="V244" s="146"/>
      <c r="W244" s="146"/>
      <c r="X244" s="146">
        <v>37.763</v>
      </c>
      <c r="Y244" s="109"/>
      <c r="Z244" s="80">
        <f t="shared" si="172"/>
        <v>793.0300000000001</v>
      </c>
      <c r="AA244" s="146">
        <v>725.267</v>
      </c>
      <c r="AB244" s="146"/>
      <c r="AC244" s="146"/>
      <c r="AD244" s="146">
        <v>30</v>
      </c>
      <c r="AE244" s="146"/>
      <c r="AF244" s="146"/>
      <c r="AG244" s="146">
        <v>37.763</v>
      </c>
      <c r="AH244" s="109"/>
    </row>
    <row r="245" spans="1:34" s="130" customFormat="1" ht="12" customHeight="1" hidden="1" outlineLevel="1">
      <c r="A245" s="10"/>
      <c r="B245" s="46"/>
      <c r="C245" s="120"/>
      <c r="D245" s="46"/>
      <c r="E245" s="121">
        <v>5</v>
      </c>
      <c r="F245" s="176">
        <v>120</v>
      </c>
      <c r="G245" s="177">
        <v>147</v>
      </c>
      <c r="H245" s="184">
        <f t="shared" si="173"/>
        <v>481.43</v>
      </c>
      <c r="I245" s="266">
        <v>448.505</v>
      </c>
      <c r="J245" s="159">
        <v>10</v>
      </c>
      <c r="K245" s="178"/>
      <c r="L245" s="178"/>
      <c r="M245" s="178"/>
      <c r="N245" s="159"/>
      <c r="O245" s="159">
        <v>22.925</v>
      </c>
      <c r="P245" s="83"/>
      <c r="Q245" s="112">
        <f t="shared" si="171"/>
        <v>562.958</v>
      </c>
      <c r="R245" s="146">
        <v>516.15</v>
      </c>
      <c r="S245" s="146">
        <v>20</v>
      </c>
      <c r="T245" s="146"/>
      <c r="U245" s="146"/>
      <c r="V245" s="146"/>
      <c r="W245" s="146"/>
      <c r="X245" s="146">
        <v>26.808</v>
      </c>
      <c r="Y245" s="109"/>
      <c r="Z245" s="80">
        <f t="shared" si="172"/>
        <v>562.958</v>
      </c>
      <c r="AA245" s="146">
        <v>516.15</v>
      </c>
      <c r="AB245" s="146">
        <v>20</v>
      </c>
      <c r="AC245" s="146"/>
      <c r="AD245" s="146"/>
      <c r="AE245" s="146"/>
      <c r="AF245" s="146"/>
      <c r="AG245" s="146">
        <v>26.808</v>
      </c>
      <c r="AH245" s="109"/>
    </row>
    <row r="246" spans="1:34" s="130" customFormat="1" ht="12" customHeight="1" hidden="1" outlineLevel="1">
      <c r="A246" s="10"/>
      <c r="B246" s="46"/>
      <c r="C246" s="46"/>
      <c r="D246" s="46"/>
      <c r="E246" s="121">
        <v>6</v>
      </c>
      <c r="F246" s="176">
        <v>70</v>
      </c>
      <c r="G246" s="177">
        <v>144</v>
      </c>
      <c r="H246" s="184">
        <f t="shared" si="173"/>
        <v>269.84400000000005</v>
      </c>
      <c r="I246" s="266">
        <v>256.994</v>
      </c>
      <c r="J246" s="178"/>
      <c r="K246" s="178"/>
      <c r="L246" s="159"/>
      <c r="M246" s="159"/>
      <c r="N246" s="178"/>
      <c r="O246" s="159">
        <v>12.85</v>
      </c>
      <c r="P246" s="83"/>
      <c r="Q246" s="112">
        <f t="shared" si="171"/>
        <v>555.117</v>
      </c>
      <c r="R246" s="146">
        <v>508.683</v>
      </c>
      <c r="S246" s="146">
        <v>20</v>
      </c>
      <c r="T246" s="146"/>
      <c r="U246" s="146"/>
      <c r="V246" s="146"/>
      <c r="W246" s="146"/>
      <c r="X246" s="146">
        <v>26.434</v>
      </c>
      <c r="Y246" s="109"/>
      <c r="Z246" s="183">
        <f t="shared" si="172"/>
        <v>555.117</v>
      </c>
      <c r="AA246" s="146">
        <v>508.683</v>
      </c>
      <c r="AB246" s="146">
        <v>20</v>
      </c>
      <c r="AC246" s="146"/>
      <c r="AD246" s="146"/>
      <c r="AE246" s="146"/>
      <c r="AF246" s="146"/>
      <c r="AG246" s="146">
        <v>26.434</v>
      </c>
      <c r="AH246" s="141"/>
    </row>
    <row r="247" spans="1:34" s="130" customFormat="1" ht="12" customHeight="1" hidden="1" outlineLevel="1">
      <c r="A247" s="10"/>
      <c r="B247" s="46"/>
      <c r="C247" s="46"/>
      <c r="D247" s="46"/>
      <c r="E247" s="121">
        <v>7</v>
      </c>
      <c r="F247" s="176">
        <v>36</v>
      </c>
      <c r="G247" s="177">
        <v>46</v>
      </c>
      <c r="H247" s="184">
        <f t="shared" si="173"/>
        <v>150.05999999999997</v>
      </c>
      <c r="I247" s="266">
        <v>132.914</v>
      </c>
      <c r="J247" s="178">
        <v>10</v>
      </c>
      <c r="K247" s="178"/>
      <c r="L247" s="159"/>
      <c r="M247" s="159"/>
      <c r="N247" s="178"/>
      <c r="O247" s="159">
        <v>7.146</v>
      </c>
      <c r="P247" s="83"/>
      <c r="Q247" s="112">
        <f t="shared" si="171"/>
        <v>180.365</v>
      </c>
      <c r="R247" s="146">
        <v>161.776</v>
      </c>
      <c r="S247" s="146">
        <v>10</v>
      </c>
      <c r="T247" s="146"/>
      <c r="U247" s="146"/>
      <c r="V247" s="146"/>
      <c r="W247" s="146"/>
      <c r="X247" s="146">
        <v>8.589</v>
      </c>
      <c r="Y247" s="109"/>
      <c r="Z247" s="80">
        <f t="shared" si="172"/>
        <v>180.365</v>
      </c>
      <c r="AA247" s="146">
        <v>161.776</v>
      </c>
      <c r="AB247" s="146">
        <v>10</v>
      </c>
      <c r="AC247" s="146"/>
      <c r="AD247" s="146"/>
      <c r="AE247" s="146"/>
      <c r="AF247" s="146"/>
      <c r="AG247" s="146">
        <v>8.589</v>
      </c>
      <c r="AH247" s="141"/>
    </row>
    <row r="248" spans="1:34" s="130" customFormat="1" ht="12" customHeight="1" hidden="1" outlineLevel="1">
      <c r="A248" s="10"/>
      <c r="B248" s="46"/>
      <c r="C248" s="46"/>
      <c r="D248" s="46"/>
      <c r="E248" s="121">
        <v>8</v>
      </c>
      <c r="F248" s="176">
        <v>107</v>
      </c>
      <c r="G248" s="177">
        <v>86</v>
      </c>
      <c r="H248" s="184">
        <f t="shared" si="173"/>
        <v>443.51399999999995</v>
      </c>
      <c r="I248" s="266">
        <v>422.393</v>
      </c>
      <c r="J248" s="178"/>
      <c r="K248" s="178"/>
      <c r="L248" s="159"/>
      <c r="M248" s="159"/>
      <c r="N248" s="159"/>
      <c r="O248" s="159">
        <v>21.121</v>
      </c>
      <c r="P248" s="83"/>
      <c r="Q248" s="112">
        <f t="shared" si="171"/>
        <v>314.591</v>
      </c>
      <c r="R248" s="146">
        <v>299.61</v>
      </c>
      <c r="S248" s="146"/>
      <c r="T248" s="146"/>
      <c r="U248" s="146"/>
      <c r="V248" s="146"/>
      <c r="W248" s="146"/>
      <c r="X248" s="146">
        <v>14.981</v>
      </c>
      <c r="Y248" s="109"/>
      <c r="Z248" s="80">
        <f t="shared" si="172"/>
        <v>314.591</v>
      </c>
      <c r="AA248" s="146">
        <v>299.61</v>
      </c>
      <c r="AB248" s="146"/>
      <c r="AC248" s="146"/>
      <c r="AD248" s="146"/>
      <c r="AE248" s="146"/>
      <c r="AF248" s="146"/>
      <c r="AG248" s="146">
        <v>14.981</v>
      </c>
      <c r="AH248" s="109"/>
    </row>
    <row r="249" spans="1:34" s="129" customFormat="1" ht="12" customHeight="1" hidden="1" outlineLevel="1">
      <c r="A249" s="98"/>
      <c r="B249" s="46"/>
      <c r="C249" s="46"/>
      <c r="D249" s="46"/>
      <c r="E249" s="81" t="s">
        <v>471</v>
      </c>
      <c r="F249" s="126"/>
      <c r="G249" s="81"/>
      <c r="H249" s="99">
        <f>H240/$H$240</f>
        <v>1</v>
      </c>
      <c r="I249" s="261">
        <f aca="true" t="shared" si="174" ref="I249:P249">I240/$H$240</f>
        <v>0.7163883010981059</v>
      </c>
      <c r="J249" s="99">
        <f t="shared" si="174"/>
        <v>0.01301381807202888</v>
      </c>
      <c r="K249" s="99">
        <f t="shared" si="174"/>
        <v>0.015616581686434655</v>
      </c>
      <c r="L249" s="99">
        <f t="shared" si="174"/>
        <v>0.05530872680612274</v>
      </c>
      <c r="M249" s="99">
        <f t="shared" si="174"/>
        <v>0.09461045738364995</v>
      </c>
      <c r="N249" s="99">
        <f t="shared" si="174"/>
        <v>0.05744299296993547</v>
      </c>
      <c r="O249" s="99">
        <f t="shared" si="174"/>
        <v>0.04761912198372231</v>
      </c>
      <c r="P249" s="99">
        <f t="shared" si="174"/>
        <v>0</v>
      </c>
      <c r="Q249" s="99">
        <f>Q240/$Q$240</f>
        <v>1</v>
      </c>
      <c r="R249" s="99">
        <f aca="true" t="shared" si="175" ref="R249:Y249">R240/$Q$240</f>
        <v>0.6997876144890646</v>
      </c>
      <c r="S249" s="99">
        <f t="shared" si="175"/>
        <v>0.020822108915246208</v>
      </c>
      <c r="T249" s="99">
        <f t="shared" si="175"/>
        <v>0</v>
      </c>
      <c r="U249" s="99">
        <f t="shared" si="175"/>
        <v>0.08432954110674715</v>
      </c>
      <c r="V249" s="99">
        <f t="shared" si="175"/>
        <v>0.08416843003901542</v>
      </c>
      <c r="W249" s="99">
        <f t="shared" si="175"/>
        <v>0.0632731834662044</v>
      </c>
      <c r="X249" s="99">
        <f t="shared" si="175"/>
        <v>0.04761912198372231</v>
      </c>
      <c r="Y249" s="99">
        <f t="shared" si="175"/>
        <v>0</v>
      </c>
      <c r="Z249" s="99">
        <f>Z240/$Z$240</f>
        <v>1</v>
      </c>
      <c r="AA249" s="99">
        <f aca="true" t="shared" si="176" ref="AA249:AH249">AA240/$Z$240</f>
        <v>0.6997876144890646</v>
      </c>
      <c r="AB249" s="99">
        <f t="shared" si="176"/>
        <v>0.020822108915246208</v>
      </c>
      <c r="AC249" s="99">
        <f t="shared" si="176"/>
        <v>0</v>
      </c>
      <c r="AD249" s="99">
        <f t="shared" si="176"/>
        <v>0.08432954110674715</v>
      </c>
      <c r="AE249" s="99">
        <f t="shared" si="176"/>
        <v>0.08416843003901542</v>
      </c>
      <c r="AF249" s="99">
        <f t="shared" si="176"/>
        <v>0.0632731834662044</v>
      </c>
      <c r="AG249" s="99">
        <f t="shared" si="176"/>
        <v>0.04761912198372231</v>
      </c>
      <c r="AH249" s="99">
        <f t="shared" si="176"/>
        <v>0</v>
      </c>
    </row>
    <row r="250" spans="1:34" s="129" customFormat="1" ht="12" customHeight="1" hidden="1" outlineLevel="1">
      <c r="A250" s="98"/>
      <c r="B250" s="46"/>
      <c r="C250" s="46"/>
      <c r="D250" s="46"/>
      <c r="E250" s="81" t="s">
        <v>675</v>
      </c>
      <c r="F250" s="126"/>
      <c r="G250" s="81"/>
      <c r="H250" s="99"/>
      <c r="I250" s="261"/>
      <c r="J250" s="99"/>
      <c r="K250" s="99"/>
      <c r="L250" s="99"/>
      <c r="M250" s="99"/>
      <c r="N250" s="99"/>
      <c r="O250" s="99"/>
      <c r="P250" s="99"/>
      <c r="Q250" s="65">
        <f aca="true" t="shared" si="177" ref="Q250:AH250">Q240-H240</f>
        <v>0</v>
      </c>
      <c r="R250" s="65">
        <f t="shared" si="177"/>
        <v>-63.780999999999494</v>
      </c>
      <c r="S250" s="65">
        <f t="shared" si="177"/>
        <v>30</v>
      </c>
      <c r="T250" s="65">
        <f t="shared" si="177"/>
        <v>-60</v>
      </c>
      <c r="U250" s="65">
        <f t="shared" si="177"/>
        <v>111.5</v>
      </c>
      <c r="V250" s="65">
        <f t="shared" si="177"/>
        <v>-40.11900000000003</v>
      </c>
      <c r="W250" s="65">
        <f t="shared" si="177"/>
        <v>22.400000000000006</v>
      </c>
      <c r="X250" s="65">
        <f t="shared" si="177"/>
        <v>0</v>
      </c>
      <c r="Y250" s="65">
        <f t="shared" si="177"/>
        <v>0</v>
      </c>
      <c r="Z250" s="65">
        <f t="shared" si="177"/>
        <v>0</v>
      </c>
      <c r="AA250" s="65">
        <f t="shared" si="177"/>
        <v>0</v>
      </c>
      <c r="AB250" s="65">
        <f t="shared" si="177"/>
        <v>0</v>
      </c>
      <c r="AC250" s="65">
        <f t="shared" si="177"/>
        <v>0</v>
      </c>
      <c r="AD250" s="65">
        <f t="shared" si="177"/>
        <v>0</v>
      </c>
      <c r="AE250" s="65">
        <f t="shared" si="177"/>
        <v>0</v>
      </c>
      <c r="AF250" s="65">
        <f t="shared" si="177"/>
        <v>0</v>
      </c>
      <c r="AG250" s="65">
        <f t="shared" si="177"/>
        <v>0</v>
      </c>
      <c r="AH250" s="65">
        <f t="shared" si="177"/>
        <v>0</v>
      </c>
    </row>
    <row r="251" spans="1:34" s="130" customFormat="1" ht="12" customHeight="1" hidden="1" outlineLevel="1">
      <c r="A251" s="10"/>
      <c r="B251" s="46"/>
      <c r="C251" s="46"/>
      <c r="D251" s="46"/>
      <c r="E251" s="43" t="s">
        <v>649</v>
      </c>
      <c r="F251" s="44"/>
      <c r="G251" s="43"/>
      <c r="H251" s="49"/>
      <c r="I251" s="262"/>
      <c r="J251" s="49"/>
      <c r="K251" s="49"/>
      <c r="L251" s="49"/>
      <c r="M251" s="49"/>
      <c r="N251" s="49"/>
      <c r="O251" s="49"/>
      <c r="P251" s="49"/>
      <c r="Q251" s="49"/>
      <c r="R251" s="49"/>
      <c r="S251" s="84"/>
      <c r="T251" s="49"/>
      <c r="U251" s="49"/>
      <c r="V251" s="49"/>
      <c r="W251" s="49"/>
      <c r="X251" s="49"/>
      <c r="Y251" s="49"/>
      <c r="Z251" s="65">
        <f>Z240-H240</f>
        <v>0</v>
      </c>
      <c r="AA251" s="65">
        <f aca="true" t="shared" si="178" ref="AA251:AH251">AA240-I240</f>
        <v>-63.780999999999494</v>
      </c>
      <c r="AB251" s="65">
        <f t="shared" si="178"/>
        <v>30</v>
      </c>
      <c r="AC251" s="65">
        <f t="shared" si="178"/>
        <v>-60</v>
      </c>
      <c r="AD251" s="65">
        <f t="shared" si="178"/>
        <v>111.5</v>
      </c>
      <c r="AE251" s="65">
        <f t="shared" si="178"/>
        <v>-40.11900000000003</v>
      </c>
      <c r="AF251" s="65">
        <f t="shared" si="178"/>
        <v>22.400000000000006</v>
      </c>
      <c r="AG251" s="65">
        <f t="shared" si="178"/>
        <v>0</v>
      </c>
      <c r="AH251" s="65">
        <f t="shared" si="178"/>
        <v>0</v>
      </c>
    </row>
    <row r="252" spans="1:34" s="171" customFormat="1" ht="12" customHeight="1" collapsed="1">
      <c r="A252" s="117">
        <v>29</v>
      </c>
      <c r="B252" s="118" t="s">
        <v>482</v>
      </c>
      <c r="C252" s="118" t="s">
        <v>647</v>
      </c>
      <c r="D252" s="118"/>
      <c r="E252" s="119"/>
      <c r="F252" s="125">
        <f>SUM(F253:F267)</f>
        <v>740.95</v>
      </c>
      <c r="G252" s="125">
        <f>SUM(G253:G267)</f>
        <v>670.4889722222222</v>
      </c>
      <c r="H252" s="89">
        <f>SUM(H253:H267)</f>
        <v>2000</v>
      </c>
      <c r="I252" s="259">
        <f aca="true" t="shared" si="179" ref="I252:P252">SUM(I253:I267)</f>
        <v>324.48</v>
      </c>
      <c r="J252" s="89">
        <f t="shared" si="179"/>
        <v>842.3599999999999</v>
      </c>
      <c r="K252" s="89">
        <f t="shared" si="179"/>
        <v>0</v>
      </c>
      <c r="L252" s="89">
        <f t="shared" si="179"/>
        <v>55.8</v>
      </c>
      <c r="M252" s="89">
        <f t="shared" si="179"/>
        <v>102.2</v>
      </c>
      <c r="N252" s="89">
        <f t="shared" si="179"/>
        <v>576.35</v>
      </c>
      <c r="O252" s="89">
        <f t="shared" si="179"/>
        <v>98.81</v>
      </c>
      <c r="P252" s="89">
        <f t="shared" si="179"/>
        <v>0</v>
      </c>
      <c r="Q252" s="111">
        <f aca="true" t="shared" si="180" ref="Q252:AH252">SUM(Q253:Q267)</f>
        <v>1878.2689999999998</v>
      </c>
      <c r="R252" s="111">
        <f t="shared" si="180"/>
        <v>67.47</v>
      </c>
      <c r="S252" s="111">
        <f t="shared" si="180"/>
        <v>611.858</v>
      </c>
      <c r="T252" s="111">
        <f t="shared" si="180"/>
        <v>191.98</v>
      </c>
      <c r="U252" s="111">
        <f t="shared" si="180"/>
        <v>0</v>
      </c>
      <c r="V252" s="111">
        <f t="shared" si="180"/>
        <v>0</v>
      </c>
      <c r="W252" s="111">
        <f t="shared" si="180"/>
        <v>917.52</v>
      </c>
      <c r="X252" s="111">
        <f t="shared" si="180"/>
        <v>89.44100000000002</v>
      </c>
      <c r="Y252" s="111">
        <f t="shared" si="180"/>
        <v>82.53300000000002</v>
      </c>
      <c r="Z252" s="111">
        <f>SUM(Z253:Z267)</f>
        <v>1878.2689999999998</v>
      </c>
      <c r="AA252" s="89">
        <f t="shared" si="180"/>
        <v>67.47</v>
      </c>
      <c r="AB252" s="89">
        <f t="shared" si="180"/>
        <v>611.858</v>
      </c>
      <c r="AC252" s="89">
        <f t="shared" si="180"/>
        <v>191.98</v>
      </c>
      <c r="AD252" s="89">
        <f t="shared" si="180"/>
        <v>0</v>
      </c>
      <c r="AE252" s="89">
        <f t="shared" si="180"/>
        <v>0</v>
      </c>
      <c r="AF252" s="89">
        <f t="shared" si="180"/>
        <v>917.52</v>
      </c>
      <c r="AG252" s="89">
        <f t="shared" si="180"/>
        <v>89.44100000000002</v>
      </c>
      <c r="AH252" s="89">
        <f t="shared" si="180"/>
        <v>82.53300000000002</v>
      </c>
    </row>
    <row r="253" spans="1:34" s="171" customFormat="1" ht="12" customHeight="1" hidden="1" outlineLevel="1">
      <c r="A253" s="10"/>
      <c r="B253" s="46"/>
      <c r="C253" s="96">
        <f>Z252*0.65*1000</f>
        <v>1220874.8499999999</v>
      </c>
      <c r="D253" s="46"/>
      <c r="E253" s="121" t="s">
        <v>634</v>
      </c>
      <c r="F253" s="113">
        <f>3*3+1*2+4*5+3*9</f>
        <v>58</v>
      </c>
      <c r="G253" s="175">
        <v>114.53</v>
      </c>
      <c r="H253" s="172">
        <f>SUM(I253:P253)</f>
        <v>75</v>
      </c>
      <c r="I253" s="267">
        <v>7.68</v>
      </c>
      <c r="J253" s="151">
        <v>56.2</v>
      </c>
      <c r="K253" s="142"/>
      <c r="L253" s="142"/>
      <c r="M253" s="142"/>
      <c r="N253" s="142"/>
      <c r="O253" s="151">
        <v>11.12</v>
      </c>
      <c r="P253" s="83"/>
      <c r="Q253" s="112">
        <f aca="true" t="shared" si="181" ref="Q253:Q267">SUM(R253:X253)</f>
        <v>129.636</v>
      </c>
      <c r="R253" s="174"/>
      <c r="S253" s="174">
        <v>114.53</v>
      </c>
      <c r="T253" s="174"/>
      <c r="U253" s="174"/>
      <c r="V253" s="174"/>
      <c r="W253" s="174"/>
      <c r="X253" s="174">
        <v>15.106</v>
      </c>
      <c r="Y253" s="109"/>
      <c r="Z253" s="80">
        <f aca="true" t="shared" si="182" ref="Z253:Z267">SUM(AA253:AG253)</f>
        <v>129.636</v>
      </c>
      <c r="AA253" s="174"/>
      <c r="AB253" s="174">
        <v>114.53</v>
      </c>
      <c r="AC253" s="174"/>
      <c r="AD253" s="174"/>
      <c r="AE253" s="174"/>
      <c r="AF253" s="174"/>
      <c r="AG253" s="174">
        <v>15.106</v>
      </c>
      <c r="AH253" s="109"/>
    </row>
    <row r="254" spans="1:34" s="171" customFormat="1" ht="12" customHeight="1" hidden="1" outlineLevel="1">
      <c r="A254" s="10"/>
      <c r="B254" s="46"/>
      <c r="C254" s="96">
        <f>Z252*1000-C253</f>
        <v>657394.1499999999</v>
      </c>
      <c r="D254" s="46"/>
      <c r="E254" s="121" t="s">
        <v>617</v>
      </c>
      <c r="F254" s="113">
        <f>0.3+0.2+0.75*2+3*8</f>
        <v>26</v>
      </c>
      <c r="G254" s="175">
        <v>0.3909722222222222</v>
      </c>
      <c r="H254" s="172">
        <f aca="true" t="shared" si="183" ref="H254:H267">SUM(I254:P254)</f>
        <v>30</v>
      </c>
      <c r="I254" s="267"/>
      <c r="J254" s="151">
        <v>25.56</v>
      </c>
      <c r="K254" s="152"/>
      <c r="L254" s="152"/>
      <c r="M254" s="152"/>
      <c r="N254" s="152"/>
      <c r="O254" s="151">
        <v>4.44</v>
      </c>
      <c r="P254" s="83"/>
      <c r="Q254" s="112">
        <f t="shared" si="181"/>
        <v>10.741</v>
      </c>
      <c r="R254" s="174"/>
      <c r="S254" s="174">
        <v>9.23</v>
      </c>
      <c r="T254" s="174"/>
      <c r="U254" s="174"/>
      <c r="V254" s="174"/>
      <c r="W254" s="174"/>
      <c r="X254" s="174">
        <v>1.511</v>
      </c>
      <c r="Y254" s="109"/>
      <c r="Z254" s="80">
        <f t="shared" si="182"/>
        <v>10.741</v>
      </c>
      <c r="AA254" s="174"/>
      <c r="AB254" s="174">
        <v>9.23</v>
      </c>
      <c r="AC254" s="174"/>
      <c r="AD254" s="174"/>
      <c r="AE254" s="174"/>
      <c r="AF254" s="174"/>
      <c r="AG254" s="174">
        <v>1.511</v>
      </c>
      <c r="AH254" s="109"/>
    </row>
    <row r="255" spans="1:34" s="171" customFormat="1" ht="12" customHeight="1" hidden="1" outlineLevel="1">
      <c r="A255" s="10"/>
      <c r="B255" s="46"/>
      <c r="C255" s="139"/>
      <c r="D255" s="96"/>
      <c r="E255" s="121" t="s">
        <v>618</v>
      </c>
      <c r="F255" s="113">
        <f>0.75+0.25+4*5+2</f>
        <v>23</v>
      </c>
      <c r="G255" s="175">
        <v>18.59</v>
      </c>
      <c r="H255" s="172">
        <f t="shared" si="183"/>
        <v>20</v>
      </c>
      <c r="I255" s="267">
        <v>2.4</v>
      </c>
      <c r="J255" s="151">
        <v>16</v>
      </c>
      <c r="K255" s="152"/>
      <c r="L255" s="152"/>
      <c r="M255" s="152"/>
      <c r="N255" s="152"/>
      <c r="O255" s="151">
        <v>1.6</v>
      </c>
      <c r="P255" s="83"/>
      <c r="Q255" s="112">
        <f t="shared" si="181"/>
        <v>20.101</v>
      </c>
      <c r="R255" s="174"/>
      <c r="S255" s="174">
        <v>18.59</v>
      </c>
      <c r="T255" s="174"/>
      <c r="U255" s="174"/>
      <c r="V255" s="174"/>
      <c r="W255" s="174"/>
      <c r="X255" s="174">
        <v>1.511</v>
      </c>
      <c r="Y255" s="109"/>
      <c r="Z255" s="80">
        <f t="shared" si="182"/>
        <v>20.101</v>
      </c>
      <c r="AA255" s="174"/>
      <c r="AB255" s="174">
        <v>18.59</v>
      </c>
      <c r="AC255" s="174"/>
      <c r="AD255" s="174"/>
      <c r="AE255" s="174"/>
      <c r="AF255" s="174"/>
      <c r="AG255" s="174">
        <v>1.511</v>
      </c>
      <c r="AH255" s="109"/>
    </row>
    <row r="256" spans="1:34" s="171" customFormat="1" ht="12" customHeight="1" hidden="1" outlineLevel="1">
      <c r="A256" s="10"/>
      <c r="B256" s="46"/>
      <c r="C256" s="46"/>
      <c r="D256" s="46"/>
      <c r="E256" s="121" t="s">
        <v>619</v>
      </c>
      <c r="F256" s="113">
        <f>2+1+3*2+3*2</f>
        <v>15</v>
      </c>
      <c r="G256" s="175">
        <v>38.584</v>
      </c>
      <c r="H256" s="172">
        <f t="shared" si="183"/>
        <v>45</v>
      </c>
      <c r="I256" s="267"/>
      <c r="J256" s="151">
        <v>24.6</v>
      </c>
      <c r="K256" s="152"/>
      <c r="L256" s="152"/>
      <c r="M256" s="152"/>
      <c r="N256" s="151">
        <v>18</v>
      </c>
      <c r="O256" s="151">
        <v>2.4</v>
      </c>
      <c r="P256" s="83"/>
      <c r="Q256" s="112">
        <f t="shared" si="181"/>
        <v>667.3949999999999</v>
      </c>
      <c r="R256" s="174">
        <v>7.8</v>
      </c>
      <c r="S256" s="174">
        <v>30.784</v>
      </c>
      <c r="T256" s="174"/>
      <c r="U256" s="174"/>
      <c r="V256" s="174"/>
      <c r="W256" s="174">
        <v>627.3</v>
      </c>
      <c r="X256" s="174">
        <v>1.511</v>
      </c>
      <c r="Y256" s="109"/>
      <c r="Z256" s="80">
        <f t="shared" si="182"/>
        <v>667.3949999999999</v>
      </c>
      <c r="AA256" s="174">
        <v>7.8</v>
      </c>
      <c r="AB256" s="174">
        <v>30.784</v>
      </c>
      <c r="AC256" s="174"/>
      <c r="AD256" s="174"/>
      <c r="AE256" s="174"/>
      <c r="AF256" s="174">
        <v>627.3</v>
      </c>
      <c r="AG256" s="174">
        <v>1.511</v>
      </c>
      <c r="AH256" s="109"/>
    </row>
    <row r="257" spans="1:34" s="171" customFormat="1" ht="12" customHeight="1" hidden="1" outlineLevel="1">
      <c r="A257" s="10"/>
      <c r="B257" s="46"/>
      <c r="C257" s="120"/>
      <c r="D257" s="46"/>
      <c r="E257" s="121" t="s">
        <v>624</v>
      </c>
      <c r="F257" s="113">
        <f>0.1+0.05+0.15+0.2*2</f>
        <v>0.7000000000000001</v>
      </c>
      <c r="G257" s="175">
        <v>13.26</v>
      </c>
      <c r="H257" s="172">
        <f t="shared" si="183"/>
        <v>5</v>
      </c>
      <c r="I257" s="267"/>
      <c r="J257" s="151">
        <v>2.16</v>
      </c>
      <c r="K257" s="152"/>
      <c r="L257" s="152"/>
      <c r="M257" s="152"/>
      <c r="N257" s="152"/>
      <c r="O257" s="151">
        <v>2.84</v>
      </c>
      <c r="P257" s="83"/>
      <c r="Q257" s="112">
        <f t="shared" si="181"/>
        <v>14.167</v>
      </c>
      <c r="R257" s="174">
        <v>3.9</v>
      </c>
      <c r="S257" s="174">
        <v>9.36</v>
      </c>
      <c r="T257" s="174"/>
      <c r="U257" s="174"/>
      <c r="V257" s="174"/>
      <c r="W257" s="174"/>
      <c r="X257" s="174">
        <v>0.907</v>
      </c>
      <c r="Y257" s="109"/>
      <c r="Z257" s="80">
        <f t="shared" si="182"/>
        <v>14.167</v>
      </c>
      <c r="AA257" s="174">
        <v>3.9</v>
      </c>
      <c r="AB257" s="174">
        <v>9.36</v>
      </c>
      <c r="AC257" s="174"/>
      <c r="AD257" s="174"/>
      <c r="AE257" s="174"/>
      <c r="AF257" s="174"/>
      <c r="AG257" s="174">
        <v>0.907</v>
      </c>
      <c r="AH257" s="109"/>
    </row>
    <row r="258" spans="1:34" s="171" customFormat="1" ht="12" customHeight="1" hidden="1" outlineLevel="1">
      <c r="A258" s="10"/>
      <c r="B258" s="46"/>
      <c r="C258" s="46"/>
      <c r="D258" s="46"/>
      <c r="E258" s="121" t="s">
        <v>625</v>
      </c>
      <c r="F258" s="113">
        <f>0.3+0.2+0.5+2*9</f>
        <v>19</v>
      </c>
      <c r="G258" s="175">
        <v>12.35</v>
      </c>
      <c r="H258" s="172">
        <f t="shared" si="183"/>
        <v>20</v>
      </c>
      <c r="I258" s="267"/>
      <c r="J258" s="151">
        <v>17.65</v>
      </c>
      <c r="K258" s="152"/>
      <c r="L258" s="152"/>
      <c r="M258" s="152"/>
      <c r="N258" s="152"/>
      <c r="O258" s="151">
        <v>2.35</v>
      </c>
      <c r="P258" s="83"/>
      <c r="Q258" s="112">
        <f t="shared" si="181"/>
        <v>13.860999999999999</v>
      </c>
      <c r="R258" s="174">
        <v>3.9</v>
      </c>
      <c r="S258" s="174">
        <v>8.45</v>
      </c>
      <c r="T258" s="174"/>
      <c r="U258" s="174"/>
      <c r="V258" s="174"/>
      <c r="W258" s="174"/>
      <c r="X258" s="174">
        <v>1.511</v>
      </c>
      <c r="Y258" s="109"/>
      <c r="Z258" s="80">
        <f t="shared" si="182"/>
        <v>13.860999999999999</v>
      </c>
      <c r="AA258" s="174">
        <v>3.9</v>
      </c>
      <c r="AB258" s="174">
        <v>8.45</v>
      </c>
      <c r="AC258" s="174"/>
      <c r="AD258" s="174"/>
      <c r="AE258" s="174"/>
      <c r="AF258" s="174"/>
      <c r="AG258" s="174">
        <v>1.511</v>
      </c>
      <c r="AH258" s="109"/>
    </row>
    <row r="259" spans="1:34" s="171" customFormat="1" ht="12" customHeight="1" hidden="1" outlineLevel="1">
      <c r="A259" s="10"/>
      <c r="B259" s="46"/>
      <c r="C259" s="46"/>
      <c r="D259" s="46"/>
      <c r="E259" s="121" t="s">
        <v>660</v>
      </c>
      <c r="F259" s="113">
        <f>2+1+8*5+3*2</f>
        <v>49</v>
      </c>
      <c r="G259" s="175">
        <v>158.6</v>
      </c>
      <c r="H259" s="172">
        <f t="shared" si="183"/>
        <v>50</v>
      </c>
      <c r="I259" s="267">
        <v>6</v>
      </c>
      <c r="J259" s="151">
        <v>32.6</v>
      </c>
      <c r="K259" s="152"/>
      <c r="L259" s="151">
        <v>5.8</v>
      </c>
      <c r="M259" s="152"/>
      <c r="N259" s="151">
        <v>4</v>
      </c>
      <c r="O259" s="151">
        <v>1.6</v>
      </c>
      <c r="P259" s="83"/>
      <c r="Q259" s="112">
        <f t="shared" si="181"/>
        <v>680.0820000000001</v>
      </c>
      <c r="R259" s="174">
        <v>7.8</v>
      </c>
      <c r="S259" s="174">
        <v>150.8</v>
      </c>
      <c r="T259" s="174">
        <v>191.98</v>
      </c>
      <c r="U259" s="174"/>
      <c r="V259" s="174"/>
      <c r="W259" s="174">
        <v>290.22</v>
      </c>
      <c r="X259" s="174">
        <v>39.282</v>
      </c>
      <c r="Y259" s="109"/>
      <c r="Z259" s="80">
        <f t="shared" si="182"/>
        <v>680.0820000000001</v>
      </c>
      <c r="AA259" s="174">
        <v>7.8</v>
      </c>
      <c r="AB259" s="174">
        <v>150.8</v>
      </c>
      <c r="AC259" s="174">
        <v>191.98</v>
      </c>
      <c r="AD259" s="174"/>
      <c r="AE259" s="174"/>
      <c r="AF259" s="174">
        <v>290.22</v>
      </c>
      <c r="AG259" s="174">
        <v>39.282</v>
      </c>
      <c r="AH259" s="109"/>
    </row>
    <row r="260" spans="1:34" s="171" customFormat="1" ht="12" customHeight="1" hidden="1" outlineLevel="1">
      <c r="A260" s="10"/>
      <c r="B260" s="46"/>
      <c r="C260" s="46"/>
      <c r="D260" s="46"/>
      <c r="E260" s="121" t="s">
        <v>629</v>
      </c>
      <c r="F260" s="113">
        <f>0.15+0.1+0.75*2+0.75*2</f>
        <v>3.25</v>
      </c>
      <c r="G260" s="175">
        <v>35.75</v>
      </c>
      <c r="H260" s="172">
        <f t="shared" si="183"/>
        <v>450</v>
      </c>
      <c r="I260" s="267"/>
      <c r="J260" s="151">
        <v>9</v>
      </c>
      <c r="K260" s="152"/>
      <c r="L260" s="152"/>
      <c r="M260" s="152"/>
      <c r="N260" s="153">
        <v>437.25</v>
      </c>
      <c r="O260" s="151">
        <v>3.75</v>
      </c>
      <c r="P260" s="83"/>
      <c r="Q260" s="112">
        <f t="shared" si="181"/>
        <v>41.793</v>
      </c>
      <c r="R260" s="174">
        <v>1.95</v>
      </c>
      <c r="S260" s="174">
        <v>33.8</v>
      </c>
      <c r="T260" s="174"/>
      <c r="U260" s="174"/>
      <c r="V260" s="174"/>
      <c r="W260" s="174"/>
      <c r="X260" s="174">
        <v>6.043</v>
      </c>
      <c r="Y260" s="109"/>
      <c r="Z260" s="80">
        <f t="shared" si="182"/>
        <v>41.793</v>
      </c>
      <c r="AA260" s="174">
        <v>1.95</v>
      </c>
      <c r="AB260" s="174">
        <v>33.8</v>
      </c>
      <c r="AC260" s="174"/>
      <c r="AD260" s="174"/>
      <c r="AE260" s="174"/>
      <c r="AF260" s="174"/>
      <c r="AG260" s="174">
        <v>6.043</v>
      </c>
      <c r="AH260" s="109"/>
    </row>
    <row r="261" spans="1:34" s="171" customFormat="1" ht="12" customHeight="1" hidden="1" outlineLevel="1">
      <c r="A261" s="10"/>
      <c r="B261" s="46"/>
      <c r="C261" s="46"/>
      <c r="D261" s="46"/>
      <c r="E261" s="121" t="s">
        <v>661</v>
      </c>
      <c r="F261" s="113">
        <f>3*3+1+4*5+4*5</f>
        <v>50</v>
      </c>
      <c r="G261" s="175">
        <v>53.3</v>
      </c>
      <c r="H261" s="172">
        <f t="shared" si="183"/>
        <v>80</v>
      </c>
      <c r="I261" s="267"/>
      <c r="J261" s="151">
        <v>39.6</v>
      </c>
      <c r="K261" s="152"/>
      <c r="L261" s="152"/>
      <c r="M261" s="151">
        <v>8.2</v>
      </c>
      <c r="N261" s="151">
        <v>20.2</v>
      </c>
      <c r="O261" s="151">
        <v>12</v>
      </c>
      <c r="P261" s="83"/>
      <c r="Q261" s="112">
        <f t="shared" si="181"/>
        <v>62.364999999999995</v>
      </c>
      <c r="R261" s="174">
        <v>3.9</v>
      </c>
      <c r="S261" s="174">
        <v>49.4</v>
      </c>
      <c r="T261" s="174"/>
      <c r="U261" s="174"/>
      <c r="V261" s="174"/>
      <c r="W261" s="174"/>
      <c r="X261" s="174">
        <v>9.065</v>
      </c>
      <c r="Y261" s="109"/>
      <c r="Z261" s="80">
        <f t="shared" si="182"/>
        <v>62.364999999999995</v>
      </c>
      <c r="AA261" s="174">
        <v>3.9</v>
      </c>
      <c r="AB261" s="174">
        <v>49.4</v>
      </c>
      <c r="AC261" s="174"/>
      <c r="AD261" s="174"/>
      <c r="AE261" s="174"/>
      <c r="AF261" s="174"/>
      <c r="AG261" s="174">
        <v>9.065</v>
      </c>
      <c r="AH261" s="109"/>
    </row>
    <row r="262" spans="1:34" s="171" customFormat="1" ht="12" customHeight="1" hidden="1" outlineLevel="1">
      <c r="A262" s="10"/>
      <c r="B262" s="46"/>
      <c r="C262" s="46"/>
      <c r="D262" s="46"/>
      <c r="E262" s="121" t="s">
        <v>662</v>
      </c>
      <c r="F262" s="113">
        <f>3*2+1+4*4+5*4</f>
        <v>43</v>
      </c>
      <c r="G262" s="175">
        <v>60.45</v>
      </c>
      <c r="H262" s="172">
        <f t="shared" si="183"/>
        <v>80</v>
      </c>
      <c r="I262" s="267"/>
      <c r="J262" s="151">
        <v>47.4</v>
      </c>
      <c r="K262" s="152"/>
      <c r="L262" s="152"/>
      <c r="M262" s="151">
        <v>10</v>
      </c>
      <c r="N262" s="151">
        <v>14</v>
      </c>
      <c r="O262" s="151">
        <v>8.6</v>
      </c>
      <c r="P262" s="83"/>
      <c r="Q262" s="112">
        <f t="shared" si="181"/>
        <v>63.471999999999994</v>
      </c>
      <c r="R262" s="174">
        <v>23.4</v>
      </c>
      <c r="S262" s="174">
        <v>37.05</v>
      </c>
      <c r="T262" s="174"/>
      <c r="U262" s="174"/>
      <c r="V262" s="174"/>
      <c r="W262" s="174"/>
      <c r="X262" s="174">
        <v>3.022</v>
      </c>
      <c r="Y262" s="109"/>
      <c r="Z262" s="80">
        <f t="shared" si="182"/>
        <v>63.471999999999994</v>
      </c>
      <c r="AA262" s="174">
        <v>23.4</v>
      </c>
      <c r="AB262" s="174">
        <v>37.05</v>
      </c>
      <c r="AC262" s="174"/>
      <c r="AD262" s="174"/>
      <c r="AE262" s="174"/>
      <c r="AF262" s="174"/>
      <c r="AG262" s="174">
        <v>3.022</v>
      </c>
      <c r="AH262" s="109"/>
    </row>
    <row r="263" spans="1:34" s="171" customFormat="1" ht="12" customHeight="1" hidden="1" outlineLevel="1">
      <c r="A263" s="10"/>
      <c r="B263" s="46"/>
      <c r="C263" s="46"/>
      <c r="D263" s="46"/>
      <c r="E263" s="121" t="s">
        <v>663</v>
      </c>
      <c r="F263" s="113">
        <f>3*4+2+4*7+3*6</f>
        <v>60</v>
      </c>
      <c r="G263" s="175">
        <v>54.21</v>
      </c>
      <c r="H263" s="172">
        <f t="shared" si="183"/>
        <v>85</v>
      </c>
      <c r="I263" s="267">
        <v>4.8</v>
      </c>
      <c r="J263" s="151">
        <v>40.8</v>
      </c>
      <c r="K263" s="152"/>
      <c r="L263" s="152"/>
      <c r="M263" s="151">
        <v>10</v>
      </c>
      <c r="N263" s="151">
        <v>16</v>
      </c>
      <c r="O263" s="151">
        <v>13.4</v>
      </c>
      <c r="P263" s="83"/>
      <c r="Q263" s="112">
        <f t="shared" si="181"/>
        <v>57.23199999999999</v>
      </c>
      <c r="R263" s="174">
        <v>11.7</v>
      </c>
      <c r="S263" s="174">
        <v>42.51</v>
      </c>
      <c r="T263" s="174"/>
      <c r="U263" s="174"/>
      <c r="V263" s="174"/>
      <c r="W263" s="174"/>
      <c r="X263" s="174">
        <v>3.022</v>
      </c>
      <c r="Y263" s="109"/>
      <c r="Z263" s="80">
        <f t="shared" si="182"/>
        <v>57.23199999999999</v>
      </c>
      <c r="AA263" s="174">
        <v>11.7</v>
      </c>
      <c r="AB263" s="174">
        <v>42.51</v>
      </c>
      <c r="AC263" s="174"/>
      <c r="AD263" s="174"/>
      <c r="AE263" s="174"/>
      <c r="AF263" s="174"/>
      <c r="AG263" s="174">
        <v>3.022</v>
      </c>
      <c r="AH263" s="109"/>
    </row>
    <row r="264" spans="1:34" s="171" customFormat="1" ht="12" customHeight="1" hidden="1" outlineLevel="1">
      <c r="A264" s="10"/>
      <c r="B264" s="46"/>
      <c r="C264" s="46"/>
      <c r="D264" s="46"/>
      <c r="E264" s="121" t="s">
        <v>531</v>
      </c>
      <c r="F264" s="113">
        <f>16*3+8+24*8+1</f>
        <v>249</v>
      </c>
      <c r="G264" s="175">
        <v>37.05</v>
      </c>
      <c r="H264" s="172">
        <f t="shared" si="183"/>
        <v>855</v>
      </c>
      <c r="I264" s="268">
        <v>300</v>
      </c>
      <c r="J264" s="151">
        <v>374</v>
      </c>
      <c r="K264" s="152"/>
      <c r="L264" s="151">
        <v>50</v>
      </c>
      <c r="M264" s="151">
        <v>60</v>
      </c>
      <c r="N264" s="151">
        <v>55.4</v>
      </c>
      <c r="O264" s="151">
        <v>15.6</v>
      </c>
      <c r="P264" s="83"/>
      <c r="Q264" s="112">
        <f t="shared" si="181"/>
        <v>40.072</v>
      </c>
      <c r="R264" s="174">
        <v>1.17</v>
      </c>
      <c r="S264" s="174">
        <v>35.88</v>
      </c>
      <c r="T264" s="174"/>
      <c r="U264" s="174"/>
      <c r="V264" s="174"/>
      <c r="W264" s="174"/>
      <c r="X264" s="174">
        <v>3.022</v>
      </c>
      <c r="Y264" s="141">
        <f>Q264</f>
        <v>40.072</v>
      </c>
      <c r="Z264" s="80">
        <f t="shared" si="182"/>
        <v>40.072</v>
      </c>
      <c r="AA264" s="174">
        <v>1.17</v>
      </c>
      <c r="AB264" s="174">
        <v>35.88</v>
      </c>
      <c r="AC264" s="174"/>
      <c r="AD264" s="174"/>
      <c r="AE264" s="174"/>
      <c r="AF264" s="174"/>
      <c r="AG264" s="174">
        <v>3.022</v>
      </c>
      <c r="AH264" s="141">
        <f>Z264</f>
        <v>40.072</v>
      </c>
    </row>
    <row r="265" spans="1:34" s="171" customFormat="1" ht="12" customHeight="1" hidden="1" outlineLevel="1">
      <c r="A265" s="10"/>
      <c r="B265" s="46"/>
      <c r="C265" s="46"/>
      <c r="D265" s="46"/>
      <c r="E265" s="121" t="s">
        <v>532</v>
      </c>
      <c r="F265" s="113">
        <f>1.5*7+0.5*3+2*7+3*11</f>
        <v>59</v>
      </c>
      <c r="G265" s="175">
        <v>11.414</v>
      </c>
      <c r="H265" s="172">
        <f t="shared" si="183"/>
        <v>120</v>
      </c>
      <c r="I265" s="267"/>
      <c r="J265" s="151">
        <v>84.09</v>
      </c>
      <c r="K265" s="152"/>
      <c r="L265" s="152"/>
      <c r="M265" s="151">
        <v>14</v>
      </c>
      <c r="N265" s="151">
        <v>11.5</v>
      </c>
      <c r="O265" s="151">
        <v>10.41</v>
      </c>
      <c r="P265" s="83"/>
      <c r="Q265" s="112">
        <f t="shared" si="181"/>
        <v>13.831</v>
      </c>
      <c r="R265" s="174"/>
      <c r="S265" s="174">
        <v>11.414</v>
      </c>
      <c r="T265" s="174"/>
      <c r="U265" s="174"/>
      <c r="V265" s="174"/>
      <c r="W265" s="174"/>
      <c r="X265" s="174">
        <v>2.417</v>
      </c>
      <c r="Y265" s="109"/>
      <c r="Z265" s="80">
        <f t="shared" si="182"/>
        <v>13.831</v>
      </c>
      <c r="AA265" s="174"/>
      <c r="AB265" s="174">
        <v>11.414</v>
      </c>
      <c r="AC265" s="174"/>
      <c r="AD265" s="174"/>
      <c r="AE265" s="174"/>
      <c r="AF265" s="174"/>
      <c r="AG265" s="174">
        <v>2.417</v>
      </c>
      <c r="AH265" s="109"/>
    </row>
    <row r="266" spans="1:34" s="171" customFormat="1" ht="12" customHeight="1" hidden="1" outlineLevel="1">
      <c r="A266" s="10"/>
      <c r="B266" s="46"/>
      <c r="C266" s="46"/>
      <c r="D266" s="46"/>
      <c r="E266" s="121" t="s">
        <v>533</v>
      </c>
      <c r="F266" s="113">
        <f>0.75+0.25+2*3+4*5</f>
        <v>27</v>
      </c>
      <c r="G266" s="175">
        <v>21.06</v>
      </c>
      <c r="H266" s="172">
        <f t="shared" si="183"/>
        <v>30</v>
      </c>
      <c r="I266" s="267"/>
      <c r="J266" s="151">
        <v>28.8</v>
      </c>
      <c r="K266" s="152"/>
      <c r="L266" s="152"/>
      <c r="M266" s="152"/>
      <c r="N266" s="152"/>
      <c r="O266" s="151">
        <v>1.2</v>
      </c>
      <c r="P266" s="83"/>
      <c r="Q266" s="112">
        <f t="shared" si="181"/>
        <v>21.06</v>
      </c>
      <c r="R266" s="174"/>
      <c r="S266" s="174">
        <v>21.06</v>
      </c>
      <c r="T266" s="174"/>
      <c r="U266" s="174"/>
      <c r="V266" s="174"/>
      <c r="W266" s="174"/>
      <c r="X266" s="174"/>
      <c r="Y266" s="109"/>
      <c r="Z266" s="80">
        <f t="shared" si="182"/>
        <v>21.06</v>
      </c>
      <c r="AA266" s="174"/>
      <c r="AB266" s="174">
        <v>21.06</v>
      </c>
      <c r="AC266" s="174"/>
      <c r="AD266" s="174"/>
      <c r="AE266" s="174"/>
      <c r="AF266" s="174"/>
      <c r="AG266" s="174"/>
      <c r="AH266" s="109"/>
    </row>
    <row r="267" spans="1:34" s="171" customFormat="1" ht="12" customHeight="1" hidden="1" outlineLevel="1">
      <c r="A267" s="10"/>
      <c r="B267" s="46"/>
      <c r="C267" s="46"/>
      <c r="D267" s="46"/>
      <c r="E267" s="121" t="s">
        <v>534</v>
      </c>
      <c r="F267" s="113">
        <f>3*4+2*2+3*5+4*7</f>
        <v>59</v>
      </c>
      <c r="G267" s="175">
        <v>40.95</v>
      </c>
      <c r="H267" s="172">
        <f t="shared" si="183"/>
        <v>55</v>
      </c>
      <c r="I267" s="267">
        <v>3.6</v>
      </c>
      <c r="J267" s="151">
        <v>43.9</v>
      </c>
      <c r="K267" s="152"/>
      <c r="L267" s="152"/>
      <c r="M267" s="152"/>
      <c r="N267" s="152"/>
      <c r="O267" s="151">
        <v>7.5</v>
      </c>
      <c r="P267" s="83"/>
      <c r="Q267" s="112">
        <f t="shared" si="181"/>
        <v>42.461000000000006</v>
      </c>
      <c r="R267" s="174">
        <v>1.95</v>
      </c>
      <c r="S267" s="174">
        <v>39</v>
      </c>
      <c r="T267" s="174"/>
      <c r="U267" s="174"/>
      <c r="V267" s="174"/>
      <c r="W267" s="174"/>
      <c r="X267" s="174">
        <v>1.511</v>
      </c>
      <c r="Y267" s="141">
        <f>Q267</f>
        <v>42.461000000000006</v>
      </c>
      <c r="Z267" s="80">
        <f t="shared" si="182"/>
        <v>42.461000000000006</v>
      </c>
      <c r="AA267" s="174">
        <v>1.95</v>
      </c>
      <c r="AB267" s="174">
        <v>39</v>
      </c>
      <c r="AC267" s="174"/>
      <c r="AD267" s="174"/>
      <c r="AE267" s="174"/>
      <c r="AF267" s="174"/>
      <c r="AG267" s="174">
        <v>1.511</v>
      </c>
      <c r="AH267" s="141">
        <f>Z267</f>
        <v>42.461000000000006</v>
      </c>
    </row>
    <row r="268" spans="1:34" s="129" customFormat="1" ht="12" customHeight="1" hidden="1" outlineLevel="1">
      <c r="A268" s="98"/>
      <c r="B268" s="46"/>
      <c r="C268" s="46"/>
      <c r="D268" s="46"/>
      <c r="E268" s="81" t="s">
        <v>471</v>
      </c>
      <c r="F268" s="126"/>
      <c r="G268" s="81"/>
      <c r="H268" s="99">
        <f>H252/$H$252</f>
        <v>1</v>
      </c>
      <c r="I268" s="261">
        <f aca="true" t="shared" si="184" ref="I268:P268">I252/$H$252</f>
        <v>0.16224</v>
      </c>
      <c r="J268" s="99">
        <f t="shared" si="184"/>
        <v>0.42117999999999994</v>
      </c>
      <c r="K268" s="99">
        <f t="shared" si="184"/>
        <v>0</v>
      </c>
      <c r="L268" s="99">
        <f t="shared" si="184"/>
        <v>0.027899999999999998</v>
      </c>
      <c r="M268" s="99">
        <f t="shared" si="184"/>
        <v>0.0511</v>
      </c>
      <c r="N268" s="99">
        <f t="shared" si="184"/>
        <v>0.288175</v>
      </c>
      <c r="O268" s="99">
        <f t="shared" si="184"/>
        <v>0.049405000000000004</v>
      </c>
      <c r="P268" s="99">
        <f t="shared" si="184"/>
        <v>0</v>
      </c>
      <c r="Q268" s="99">
        <f>Q252/$Q$252</f>
        <v>1</v>
      </c>
      <c r="R268" s="99">
        <f aca="true" t="shared" si="185" ref="R268:Y268">R252/$Q$252</f>
        <v>0.03592137228480053</v>
      </c>
      <c r="S268" s="99">
        <f t="shared" si="185"/>
        <v>0.32575632137888666</v>
      </c>
      <c r="T268" s="99">
        <f t="shared" si="185"/>
        <v>0.10221113163237003</v>
      </c>
      <c r="U268" s="99">
        <f t="shared" si="185"/>
        <v>0</v>
      </c>
      <c r="V268" s="99">
        <f t="shared" si="185"/>
        <v>0</v>
      </c>
      <c r="W268" s="99">
        <f t="shared" si="185"/>
        <v>0.4884923299058868</v>
      </c>
      <c r="X268" s="99">
        <f t="shared" si="185"/>
        <v>0.047618844798056094</v>
      </c>
      <c r="Y268" s="99">
        <f t="shared" si="185"/>
        <v>0.043940990348027904</v>
      </c>
      <c r="Z268" s="99">
        <f>Z252/$Q$252</f>
        <v>1</v>
      </c>
      <c r="AA268" s="99">
        <f aca="true" t="shared" si="186" ref="AA268:AH268">AA252/$Q$252</f>
        <v>0.03592137228480053</v>
      </c>
      <c r="AB268" s="99">
        <f t="shared" si="186"/>
        <v>0.32575632137888666</v>
      </c>
      <c r="AC268" s="99">
        <f t="shared" si="186"/>
        <v>0.10221113163237003</v>
      </c>
      <c r="AD268" s="99">
        <f t="shared" si="186"/>
        <v>0</v>
      </c>
      <c r="AE268" s="99">
        <f t="shared" si="186"/>
        <v>0</v>
      </c>
      <c r="AF268" s="99">
        <f t="shared" si="186"/>
        <v>0.4884923299058868</v>
      </c>
      <c r="AG268" s="99">
        <f t="shared" si="186"/>
        <v>0.047618844798056094</v>
      </c>
      <c r="AH268" s="99">
        <f t="shared" si="186"/>
        <v>0.043940990348027904</v>
      </c>
    </row>
    <row r="269" spans="1:34" s="129" customFormat="1" ht="12" customHeight="1" hidden="1" outlineLevel="1">
      <c r="A269" s="98"/>
      <c r="B269" s="46"/>
      <c r="C269" s="46"/>
      <c r="D269" s="46"/>
      <c r="E269" s="81" t="s">
        <v>472</v>
      </c>
      <c r="F269" s="126"/>
      <c r="G269" s="81"/>
      <c r="H269" s="99"/>
      <c r="I269" s="261"/>
      <c r="J269" s="99"/>
      <c r="K269" s="99"/>
      <c r="L269" s="99"/>
      <c r="M269" s="99"/>
      <c r="N269" s="99"/>
      <c r="O269" s="99"/>
      <c r="P269" s="99"/>
      <c r="Q269" s="161">
        <f aca="true" t="shared" si="187" ref="Q269:AH269">Q252-H252</f>
        <v>-121.73100000000022</v>
      </c>
      <c r="R269" s="161">
        <f t="shared" si="187"/>
        <v>-257.01</v>
      </c>
      <c r="S269" s="161">
        <f t="shared" si="187"/>
        <v>-230.50199999999995</v>
      </c>
      <c r="T269" s="161">
        <f t="shared" si="187"/>
        <v>191.98</v>
      </c>
      <c r="U269" s="161">
        <f t="shared" si="187"/>
        <v>-55.8</v>
      </c>
      <c r="V269" s="161">
        <f t="shared" si="187"/>
        <v>-102.2</v>
      </c>
      <c r="W269" s="161">
        <f t="shared" si="187"/>
        <v>341.16999999999996</v>
      </c>
      <c r="X269" s="161">
        <f t="shared" si="187"/>
        <v>-9.368999999999986</v>
      </c>
      <c r="Y269" s="161">
        <f t="shared" si="187"/>
        <v>82.53300000000002</v>
      </c>
      <c r="Z269" s="65">
        <f t="shared" si="187"/>
        <v>0</v>
      </c>
      <c r="AA269" s="65">
        <f t="shared" si="187"/>
        <v>0</v>
      </c>
      <c r="AB269" s="65">
        <f t="shared" si="187"/>
        <v>0</v>
      </c>
      <c r="AC269" s="65">
        <f t="shared" si="187"/>
        <v>0</v>
      </c>
      <c r="AD269" s="65">
        <f t="shared" si="187"/>
        <v>0</v>
      </c>
      <c r="AE269" s="65">
        <f t="shared" si="187"/>
        <v>0</v>
      </c>
      <c r="AF269" s="65">
        <f t="shared" si="187"/>
        <v>0</v>
      </c>
      <c r="AG269" s="65">
        <f t="shared" si="187"/>
        <v>0</v>
      </c>
      <c r="AH269" s="65">
        <f t="shared" si="187"/>
        <v>0</v>
      </c>
    </row>
    <row r="270" spans="1:34" s="171" customFormat="1" ht="12" customHeight="1" hidden="1" outlineLevel="1">
      <c r="A270" s="10"/>
      <c r="B270" s="46"/>
      <c r="C270" s="46"/>
      <c r="D270" s="46"/>
      <c r="E270" s="43" t="s">
        <v>473</v>
      </c>
      <c r="F270" s="44"/>
      <c r="G270" s="43"/>
      <c r="H270" s="154"/>
      <c r="I270" s="262"/>
      <c r="J270" s="154"/>
      <c r="K270" s="154"/>
      <c r="L270" s="154"/>
      <c r="M270" s="154"/>
      <c r="N270" s="154"/>
      <c r="O270" s="154"/>
      <c r="P270" s="154"/>
      <c r="Q270" s="154"/>
      <c r="R270" s="154"/>
      <c r="S270" s="91"/>
      <c r="T270" s="154"/>
      <c r="U270" s="154"/>
      <c r="V270" s="154"/>
      <c r="W270" s="154"/>
      <c r="X270" s="154"/>
      <c r="Y270" s="154"/>
      <c r="Z270" s="173"/>
      <c r="AA270" s="173"/>
      <c r="AB270" s="173"/>
      <c r="AC270" s="173"/>
      <c r="AD270" s="173"/>
      <c r="AE270" s="173"/>
      <c r="AF270" s="173"/>
      <c r="AG270" s="173"/>
      <c r="AH270" s="173"/>
    </row>
    <row r="271" spans="1:133" s="56" customFormat="1" ht="12" customHeight="1" collapsed="1">
      <c r="A271" s="88">
        <v>30</v>
      </c>
      <c r="B271" s="114" t="s">
        <v>482</v>
      </c>
      <c r="C271" s="106" t="s">
        <v>900</v>
      </c>
      <c r="D271" s="106" t="s">
        <v>1</v>
      </c>
      <c r="E271" s="102"/>
      <c r="F271" s="115">
        <f>SUM(F272:F273)</f>
        <v>230</v>
      </c>
      <c r="G271" s="102"/>
      <c r="H271" s="111">
        <f aca="true" t="shared" si="188" ref="H271:AH271">SUM(H272:H273)</f>
        <v>2716.35</v>
      </c>
      <c r="I271" s="111">
        <f t="shared" si="188"/>
        <v>1251</v>
      </c>
      <c r="J271" s="111">
        <f t="shared" si="188"/>
        <v>50</v>
      </c>
      <c r="K271" s="111">
        <f t="shared" si="188"/>
        <v>75</v>
      </c>
      <c r="L271" s="111">
        <f t="shared" si="188"/>
        <v>504.2</v>
      </c>
      <c r="M271" s="111">
        <f t="shared" si="188"/>
        <v>606.8</v>
      </c>
      <c r="N271" s="111">
        <f t="shared" si="188"/>
        <v>100</v>
      </c>
      <c r="O271" s="111">
        <f t="shared" si="188"/>
        <v>129.35</v>
      </c>
      <c r="P271" s="89">
        <f t="shared" si="188"/>
        <v>0</v>
      </c>
      <c r="Q271" s="111">
        <f t="shared" si="188"/>
        <v>2136.92</v>
      </c>
      <c r="R271" s="111">
        <f t="shared" si="188"/>
        <v>320.366</v>
      </c>
      <c r="S271" s="111">
        <f t="shared" si="188"/>
        <v>1050.8400000000001</v>
      </c>
      <c r="T271" s="111">
        <f t="shared" si="188"/>
        <v>3.9</v>
      </c>
      <c r="U271" s="111">
        <f t="shared" si="188"/>
        <v>376.24</v>
      </c>
      <c r="V271" s="111">
        <f t="shared" si="188"/>
        <v>144</v>
      </c>
      <c r="W271" s="111">
        <f t="shared" si="188"/>
        <v>147.5</v>
      </c>
      <c r="X271" s="111">
        <f t="shared" si="188"/>
        <v>94.074</v>
      </c>
      <c r="Y271" s="111">
        <f t="shared" si="188"/>
        <v>0</v>
      </c>
      <c r="Z271" s="111">
        <f t="shared" si="188"/>
        <v>2136.92</v>
      </c>
      <c r="AA271" s="111">
        <f t="shared" si="188"/>
        <v>320.366</v>
      </c>
      <c r="AB271" s="111">
        <f t="shared" si="188"/>
        <v>1050.8400000000001</v>
      </c>
      <c r="AC271" s="111">
        <f t="shared" si="188"/>
        <v>3.9</v>
      </c>
      <c r="AD271" s="111">
        <f t="shared" si="188"/>
        <v>376.24</v>
      </c>
      <c r="AE271" s="111">
        <f t="shared" si="188"/>
        <v>144</v>
      </c>
      <c r="AF271" s="111">
        <f t="shared" si="188"/>
        <v>147.5</v>
      </c>
      <c r="AG271" s="111">
        <f t="shared" si="188"/>
        <v>94.074</v>
      </c>
      <c r="AH271" s="89">
        <f t="shared" si="188"/>
        <v>0</v>
      </c>
      <c r="AI271" s="42" t="s">
        <v>701</v>
      </c>
      <c r="AJ271" s="41"/>
      <c r="AK271" s="42"/>
      <c r="AL271" s="41"/>
      <c r="AM271" s="41"/>
      <c r="AN271" s="41"/>
      <c r="AO271" s="42"/>
      <c r="AP271" s="58"/>
      <c r="AQ271" s="57"/>
      <c r="AR271" s="57"/>
      <c r="AS271" s="65"/>
      <c r="AT271" s="59"/>
      <c r="AU271" s="41"/>
      <c r="AV271" s="41"/>
      <c r="AW271" s="11"/>
      <c r="AX271" s="11"/>
      <c r="AY271" s="11"/>
      <c r="AZ271" s="11"/>
      <c r="BA271" s="11"/>
      <c r="BB271" s="11"/>
      <c r="BC271" s="11"/>
      <c r="BD271" s="11"/>
      <c r="BE271" s="60"/>
      <c r="BF271" s="59"/>
      <c r="BG271" s="58"/>
      <c r="BH271" s="59"/>
      <c r="BI271" s="57"/>
      <c r="BJ271" s="60"/>
      <c r="BK271" s="59"/>
      <c r="BL271" s="93"/>
      <c r="BM271" s="61"/>
      <c r="BN271" s="61"/>
      <c r="BO271" s="59"/>
      <c r="BP271" s="18"/>
      <c r="BQ271" s="39"/>
      <c r="BR271" s="12"/>
      <c r="BS271" s="12"/>
      <c r="BT271" s="32"/>
      <c r="BU271" s="14"/>
      <c r="BV271" s="28"/>
      <c r="BW271" s="28"/>
      <c r="BX271" s="14"/>
      <c r="BY271" s="29"/>
      <c r="BZ271" s="14"/>
      <c r="CA271" s="16"/>
      <c r="CB271" s="31"/>
      <c r="CC271" s="13"/>
      <c r="CD271" s="28"/>
      <c r="CE271" s="13"/>
      <c r="CF271" s="17"/>
      <c r="CG271" s="5"/>
      <c r="CH271" s="22"/>
      <c r="CI271" s="22"/>
      <c r="CJ271" s="22"/>
      <c r="CK271" s="22"/>
      <c r="CL271" s="22"/>
      <c r="CM271" s="22"/>
      <c r="CN271" s="14"/>
      <c r="CO271" s="22"/>
      <c r="CP271" s="22"/>
      <c r="CQ271" s="22"/>
      <c r="CR271" s="22"/>
      <c r="CS271" s="22"/>
      <c r="CT271" s="22"/>
      <c r="CU271" s="30"/>
      <c r="CV271" s="22"/>
      <c r="CW271" s="22"/>
      <c r="CX271" s="22"/>
      <c r="CY271" s="22"/>
      <c r="CZ271" s="22"/>
      <c r="DA271" s="22"/>
      <c r="DB271" s="22"/>
      <c r="DC271" s="35"/>
      <c r="DD271" s="37"/>
      <c r="DE271" s="22"/>
      <c r="DF271" s="5"/>
      <c r="DG271" s="36"/>
      <c r="DH271" s="22"/>
      <c r="DI271" s="14"/>
      <c r="DJ271" s="14"/>
      <c r="DK271" s="23"/>
      <c r="DL271" s="19"/>
      <c r="DM271" s="19"/>
      <c r="DN271" s="15"/>
      <c r="DO271" s="131"/>
      <c r="DQ271" s="74"/>
      <c r="DR271" s="94"/>
      <c r="DS271" s="132"/>
      <c r="DT271" s="75"/>
      <c r="DU271" s="94"/>
      <c r="DV271" s="133"/>
      <c r="DW271" s="94"/>
      <c r="DX271" s="62"/>
      <c r="DZ271" s="75"/>
      <c r="EC271" s="62"/>
    </row>
    <row r="272" spans="1:34" s="130" customFormat="1" ht="12" customHeight="1" hidden="1" outlineLevel="1">
      <c r="A272" s="10"/>
      <c r="B272" s="272" t="s">
        <v>482</v>
      </c>
      <c r="C272" s="46"/>
      <c r="D272" s="46"/>
      <c r="E272" s="81">
        <v>1</v>
      </c>
      <c r="F272" s="126">
        <v>187</v>
      </c>
      <c r="G272" s="81">
        <v>167</v>
      </c>
      <c r="H272" s="112">
        <f>SUM(I272:O272)</f>
        <v>1869</v>
      </c>
      <c r="I272" s="108">
        <v>1000.8</v>
      </c>
      <c r="J272" s="108">
        <v>25</v>
      </c>
      <c r="K272" s="108">
        <v>50</v>
      </c>
      <c r="L272" s="108">
        <v>54.2</v>
      </c>
      <c r="M272" s="108">
        <v>600</v>
      </c>
      <c r="N272" s="108">
        <v>50</v>
      </c>
      <c r="O272" s="109">
        <v>89</v>
      </c>
      <c r="P272" s="109"/>
      <c r="Q272" s="112">
        <f>SUM(R272:X272)</f>
        <v>1307.221</v>
      </c>
      <c r="R272" s="108">
        <v>174.506</v>
      </c>
      <c r="S272" s="108">
        <v>977.34</v>
      </c>
      <c r="T272" s="108"/>
      <c r="U272" s="108"/>
      <c r="V272" s="108">
        <v>74</v>
      </c>
      <c r="W272" s="108">
        <v>25</v>
      </c>
      <c r="X272" s="109">
        <v>56.375</v>
      </c>
      <c r="Y272" s="109"/>
      <c r="Z272" s="112">
        <f>SUM(AA272:AG272)</f>
        <v>1307.221</v>
      </c>
      <c r="AA272" s="108">
        <v>174.506</v>
      </c>
      <c r="AB272" s="108">
        <v>977.34</v>
      </c>
      <c r="AC272" s="108"/>
      <c r="AD272" s="108"/>
      <c r="AE272" s="108">
        <v>74</v>
      </c>
      <c r="AF272" s="108">
        <v>25</v>
      </c>
      <c r="AG272" s="109">
        <v>56.375</v>
      </c>
      <c r="AH272" s="109"/>
    </row>
    <row r="273" spans="1:34" s="130" customFormat="1" ht="12" customHeight="1" hidden="1" outlineLevel="1">
      <c r="A273" s="10"/>
      <c r="B273" s="272" t="s">
        <v>482</v>
      </c>
      <c r="C273" s="100"/>
      <c r="D273" s="100"/>
      <c r="E273" s="81">
        <v>2</v>
      </c>
      <c r="F273" s="126">
        <v>43</v>
      </c>
      <c r="G273" s="81">
        <v>122</v>
      </c>
      <c r="H273" s="112">
        <f>SUM(I273:O273)</f>
        <v>847.35</v>
      </c>
      <c r="I273" s="108">
        <v>250.2</v>
      </c>
      <c r="J273" s="108">
        <v>25</v>
      </c>
      <c r="K273" s="108">
        <v>25</v>
      </c>
      <c r="L273" s="108">
        <v>450</v>
      </c>
      <c r="M273" s="108">
        <v>6.8</v>
      </c>
      <c r="N273" s="108">
        <v>50</v>
      </c>
      <c r="O273" s="109">
        <v>40.35</v>
      </c>
      <c r="P273" s="109"/>
      <c r="Q273" s="112">
        <f>SUM(R273:X273)</f>
        <v>829.699</v>
      </c>
      <c r="R273" s="108">
        <v>145.86</v>
      </c>
      <c r="S273" s="108">
        <v>73.5</v>
      </c>
      <c r="T273" s="108">
        <v>3.9</v>
      </c>
      <c r="U273" s="108">
        <v>376.24</v>
      </c>
      <c r="V273" s="108">
        <v>70</v>
      </c>
      <c r="W273" s="108">
        <v>122.5</v>
      </c>
      <c r="X273" s="109">
        <v>37.699</v>
      </c>
      <c r="Y273" s="109"/>
      <c r="Z273" s="112">
        <f>SUM(AA273:AG273)</f>
        <v>829.699</v>
      </c>
      <c r="AA273" s="108">
        <v>145.86</v>
      </c>
      <c r="AB273" s="108">
        <v>73.5</v>
      </c>
      <c r="AC273" s="108">
        <v>3.9</v>
      </c>
      <c r="AD273" s="108">
        <v>376.24</v>
      </c>
      <c r="AE273" s="108">
        <v>70</v>
      </c>
      <c r="AF273" s="108">
        <v>122.5</v>
      </c>
      <c r="AG273" s="109">
        <v>37.699</v>
      </c>
      <c r="AH273" s="109"/>
    </row>
    <row r="274" spans="1:34" s="129" customFormat="1" ht="12" customHeight="1" hidden="1" outlineLevel="1">
      <c r="A274" s="98"/>
      <c r="B274" s="272" t="s">
        <v>482</v>
      </c>
      <c r="C274" s="46"/>
      <c r="D274" s="46"/>
      <c r="E274" s="81" t="s">
        <v>471</v>
      </c>
      <c r="F274" s="126"/>
      <c r="G274" s="81"/>
      <c r="H274" s="99">
        <f aca="true" t="shared" si="189" ref="H274:O274">H271/$H$271</f>
        <v>1</v>
      </c>
      <c r="I274" s="261">
        <f t="shared" si="189"/>
        <v>0.46054448064498316</v>
      </c>
      <c r="J274" s="99">
        <f t="shared" si="189"/>
        <v>0.01840705358293298</v>
      </c>
      <c r="K274" s="99">
        <f t="shared" si="189"/>
        <v>0.027610580374399472</v>
      </c>
      <c r="L274" s="99">
        <f t="shared" si="189"/>
        <v>0.18561672833029616</v>
      </c>
      <c r="M274" s="99">
        <f t="shared" si="189"/>
        <v>0.22338800228247463</v>
      </c>
      <c r="N274" s="99">
        <f t="shared" si="189"/>
        <v>0.03681410716586596</v>
      </c>
      <c r="O274" s="99">
        <f t="shared" si="189"/>
        <v>0.047619047619047616</v>
      </c>
      <c r="P274" s="99"/>
      <c r="Q274" s="99">
        <f aca="true" t="shared" si="190" ref="Q274:Y274">Q271/$Q$271</f>
        <v>1</v>
      </c>
      <c r="R274" s="99">
        <f t="shared" si="190"/>
        <v>0.149919510323269</v>
      </c>
      <c r="S274" s="99">
        <f t="shared" si="190"/>
        <v>0.491754487767441</v>
      </c>
      <c r="T274" s="99">
        <f t="shared" si="190"/>
        <v>0.0018250566235516537</v>
      </c>
      <c r="U274" s="99">
        <f t="shared" si="190"/>
        <v>0.1760664882166857</v>
      </c>
      <c r="V274" s="99">
        <f t="shared" si="190"/>
        <v>0.06738670610036876</v>
      </c>
      <c r="W274" s="99">
        <f t="shared" si="190"/>
        <v>0.06902457742919715</v>
      </c>
      <c r="X274" s="99">
        <f t="shared" si="190"/>
        <v>0.04402317353948674</v>
      </c>
      <c r="Y274" s="99">
        <f t="shared" si="190"/>
        <v>0</v>
      </c>
      <c r="Z274" s="99">
        <f aca="true" t="shared" si="191" ref="Z274:AH274">Z271/$Z$271</f>
        <v>1</v>
      </c>
      <c r="AA274" s="99">
        <f t="shared" si="191"/>
        <v>0.149919510323269</v>
      </c>
      <c r="AB274" s="99">
        <f t="shared" si="191"/>
        <v>0.491754487767441</v>
      </c>
      <c r="AC274" s="99">
        <f t="shared" si="191"/>
        <v>0.0018250566235516537</v>
      </c>
      <c r="AD274" s="99">
        <f t="shared" si="191"/>
        <v>0.1760664882166857</v>
      </c>
      <c r="AE274" s="99">
        <f t="shared" si="191"/>
        <v>0.06738670610036876</v>
      </c>
      <c r="AF274" s="99">
        <f t="shared" si="191"/>
        <v>0.06902457742919715</v>
      </c>
      <c r="AG274" s="99">
        <f t="shared" si="191"/>
        <v>0.04402317353948674</v>
      </c>
      <c r="AH274" s="99">
        <f t="shared" si="191"/>
        <v>0</v>
      </c>
    </row>
    <row r="275" spans="1:34" s="129" customFormat="1" ht="12" customHeight="1" hidden="1" outlineLevel="1">
      <c r="A275" s="98"/>
      <c r="B275" s="272" t="s">
        <v>482</v>
      </c>
      <c r="C275" s="46"/>
      <c r="D275" s="46"/>
      <c r="E275" s="81" t="s">
        <v>472</v>
      </c>
      <c r="F275" s="126"/>
      <c r="G275" s="81"/>
      <c r="H275" s="99"/>
      <c r="I275" s="261"/>
      <c r="J275" s="99"/>
      <c r="K275" s="99"/>
      <c r="L275" s="99"/>
      <c r="M275" s="99"/>
      <c r="N275" s="99"/>
      <c r="O275" s="99"/>
      <c r="P275" s="99"/>
      <c r="Q275" s="65">
        <f aca="true" t="shared" si="192" ref="Q275:Y275">Q271-H271</f>
        <v>-579.4299999999998</v>
      </c>
      <c r="R275" s="65">
        <f t="shared" si="192"/>
        <v>-930.634</v>
      </c>
      <c r="S275" s="65">
        <f t="shared" si="192"/>
        <v>1000.8400000000001</v>
      </c>
      <c r="T275" s="65">
        <f t="shared" si="192"/>
        <v>-71.1</v>
      </c>
      <c r="U275" s="65">
        <f t="shared" si="192"/>
        <v>-127.95999999999998</v>
      </c>
      <c r="V275" s="65">
        <f t="shared" si="192"/>
        <v>-462.79999999999995</v>
      </c>
      <c r="W275" s="65">
        <f t="shared" si="192"/>
        <v>47.5</v>
      </c>
      <c r="X275" s="65">
        <f t="shared" si="192"/>
        <v>-35.275999999999996</v>
      </c>
      <c r="Y275" s="65">
        <f t="shared" si="192"/>
        <v>0</v>
      </c>
      <c r="Z275" s="65">
        <f aca="true" t="shared" si="193" ref="Z275:AH275">Z271-H271</f>
        <v>-579.4299999999998</v>
      </c>
      <c r="AA275" s="65">
        <f t="shared" si="193"/>
        <v>-930.634</v>
      </c>
      <c r="AB275" s="65">
        <f t="shared" si="193"/>
        <v>1000.8400000000001</v>
      </c>
      <c r="AC275" s="65">
        <f t="shared" si="193"/>
        <v>-71.1</v>
      </c>
      <c r="AD275" s="65">
        <f t="shared" si="193"/>
        <v>-127.95999999999998</v>
      </c>
      <c r="AE275" s="65">
        <f t="shared" si="193"/>
        <v>-462.79999999999995</v>
      </c>
      <c r="AF275" s="65">
        <f t="shared" si="193"/>
        <v>47.5</v>
      </c>
      <c r="AG275" s="65">
        <f t="shared" si="193"/>
        <v>-35.275999999999996</v>
      </c>
      <c r="AH275" s="65">
        <f t="shared" si="193"/>
        <v>0</v>
      </c>
    </row>
    <row r="276" spans="1:34" s="130" customFormat="1" ht="12" customHeight="1" hidden="1" outlineLevel="1">
      <c r="A276" s="10"/>
      <c r="B276" s="272" t="s">
        <v>482</v>
      </c>
      <c r="C276" s="46"/>
      <c r="D276" s="46"/>
      <c r="E276" s="43" t="s">
        <v>473</v>
      </c>
      <c r="F276" s="44"/>
      <c r="G276" s="43"/>
      <c r="H276" s="49"/>
      <c r="I276" s="262"/>
      <c r="J276" s="217"/>
      <c r="K276" s="49"/>
      <c r="L276" s="49"/>
      <c r="M276" s="49"/>
      <c r="N276" s="49"/>
      <c r="O276" s="49"/>
      <c r="P276" s="49"/>
      <c r="Q276" s="49"/>
      <c r="R276" s="49"/>
      <c r="S276" s="84"/>
      <c r="T276" s="49"/>
      <c r="U276" s="49"/>
      <c r="V276" s="49"/>
      <c r="W276" s="49"/>
      <c r="X276" s="84"/>
      <c r="Y276" s="49"/>
      <c r="Z276" s="65">
        <f>Z271-Q271</f>
        <v>0</v>
      </c>
      <c r="AA276" s="65">
        <f aca="true" t="shared" si="194" ref="AA276:AH276">AA271-R271</f>
        <v>0</v>
      </c>
      <c r="AB276" s="65">
        <f t="shared" si="194"/>
        <v>0</v>
      </c>
      <c r="AC276" s="65">
        <f t="shared" si="194"/>
        <v>0</v>
      </c>
      <c r="AD276" s="65">
        <f t="shared" si="194"/>
        <v>0</v>
      </c>
      <c r="AE276" s="65">
        <f t="shared" si="194"/>
        <v>0</v>
      </c>
      <c r="AF276" s="65">
        <f t="shared" si="194"/>
        <v>0</v>
      </c>
      <c r="AG276" s="65">
        <f t="shared" si="194"/>
        <v>0</v>
      </c>
      <c r="AH276" s="65">
        <f t="shared" si="194"/>
        <v>0</v>
      </c>
    </row>
    <row r="277" spans="1:133" s="56" customFormat="1" ht="12" customHeight="1" collapsed="1">
      <c r="A277" s="88">
        <v>31</v>
      </c>
      <c r="B277" s="106" t="s">
        <v>482</v>
      </c>
      <c r="C277" s="106" t="s">
        <v>726</v>
      </c>
      <c r="D277" s="106"/>
      <c r="E277" s="102"/>
      <c r="F277" s="115">
        <f>SUM(F278:F284)</f>
        <v>73</v>
      </c>
      <c r="G277" s="115">
        <f>SUM(G278:G284)</f>
        <v>83.5</v>
      </c>
      <c r="H277" s="111">
        <f aca="true" t="shared" si="195" ref="H277:O277">SUM(H278:H282)</f>
        <v>438.88</v>
      </c>
      <c r="I277" s="259">
        <f t="shared" si="195"/>
        <v>72</v>
      </c>
      <c r="J277" s="111">
        <f t="shared" si="195"/>
        <v>59.5</v>
      </c>
      <c r="K277" s="111">
        <f t="shared" si="195"/>
        <v>16.26</v>
      </c>
      <c r="L277" s="111">
        <f t="shared" si="195"/>
        <v>190.264</v>
      </c>
      <c r="M277" s="111">
        <f t="shared" si="195"/>
        <v>45</v>
      </c>
      <c r="N277" s="111">
        <f t="shared" si="195"/>
        <v>38.94</v>
      </c>
      <c r="O277" s="111">
        <f t="shared" si="195"/>
        <v>16.916</v>
      </c>
      <c r="P277" s="111"/>
      <c r="Q277" s="111">
        <f aca="true" t="shared" si="196" ref="Q277:X277">SUM(Q278:Q282)</f>
        <v>438.88</v>
      </c>
      <c r="R277" s="111">
        <f t="shared" si="196"/>
        <v>72</v>
      </c>
      <c r="S277" s="111">
        <f t="shared" si="196"/>
        <v>59.5</v>
      </c>
      <c r="T277" s="111">
        <f t="shared" si="196"/>
        <v>16.26</v>
      </c>
      <c r="U277" s="111">
        <f t="shared" si="196"/>
        <v>190.264</v>
      </c>
      <c r="V277" s="111">
        <f t="shared" si="196"/>
        <v>45</v>
      </c>
      <c r="W277" s="111">
        <f t="shared" si="196"/>
        <v>38.94</v>
      </c>
      <c r="X277" s="111">
        <f t="shared" si="196"/>
        <v>16.916</v>
      </c>
      <c r="Y277" s="111"/>
      <c r="Z277" s="111">
        <f aca="true" t="shared" si="197" ref="Z277:AH277">SUM(Z278:Z282)</f>
        <v>438.88</v>
      </c>
      <c r="AA277" s="111">
        <f t="shared" si="197"/>
        <v>72</v>
      </c>
      <c r="AB277" s="111">
        <f t="shared" si="197"/>
        <v>59.5</v>
      </c>
      <c r="AC277" s="111">
        <f t="shared" si="197"/>
        <v>16.26</v>
      </c>
      <c r="AD277" s="111">
        <f t="shared" si="197"/>
        <v>190.264</v>
      </c>
      <c r="AE277" s="111">
        <f t="shared" si="197"/>
        <v>45</v>
      </c>
      <c r="AF277" s="111">
        <f t="shared" si="197"/>
        <v>38.94</v>
      </c>
      <c r="AG277" s="111">
        <f t="shared" si="197"/>
        <v>16.916</v>
      </c>
      <c r="AH277" s="111">
        <f t="shared" si="197"/>
        <v>21.05</v>
      </c>
      <c r="AI277" s="42"/>
      <c r="AJ277" s="41">
        <v>4690</v>
      </c>
      <c r="AK277" s="42">
        <f>(280000-72921)/300</f>
        <v>690.2633333333333</v>
      </c>
      <c r="AL277" s="41">
        <f>AK277/22</f>
        <v>31.37560606060606</v>
      </c>
      <c r="AM277" s="41">
        <f>AL277*AJ277</f>
        <v>147151.5924242424</v>
      </c>
      <c r="AN277" s="41">
        <f>280000-AM277</f>
        <v>132848.4075757576</v>
      </c>
      <c r="AO277" s="42"/>
      <c r="AP277" s="58"/>
      <c r="AQ277" s="57"/>
      <c r="AR277" s="57"/>
      <c r="AS277" s="65"/>
      <c r="AT277" s="59"/>
      <c r="AU277" s="41"/>
      <c r="AV277" s="41"/>
      <c r="AW277" s="11"/>
      <c r="AX277" s="11"/>
      <c r="AY277" s="11"/>
      <c r="AZ277" s="11"/>
      <c r="BA277" s="11"/>
      <c r="BB277" s="11"/>
      <c r="BC277" s="11"/>
      <c r="BD277" s="11"/>
      <c r="BE277" s="60"/>
      <c r="BF277" s="59"/>
      <c r="BG277" s="58"/>
      <c r="BH277" s="59"/>
      <c r="BI277" s="57"/>
      <c r="BJ277" s="60"/>
      <c r="BK277" s="59"/>
      <c r="BL277" s="93"/>
      <c r="BM277" s="61"/>
      <c r="BN277" s="61"/>
      <c r="BO277" s="59"/>
      <c r="BP277" s="18"/>
      <c r="BQ277" s="39"/>
      <c r="BR277" s="12"/>
      <c r="BS277" s="12"/>
      <c r="BT277" s="32"/>
      <c r="BU277" s="14"/>
      <c r="BV277" s="28"/>
      <c r="BW277" s="28"/>
      <c r="BX277" s="14"/>
      <c r="BY277" s="29"/>
      <c r="BZ277" s="14"/>
      <c r="CA277" s="16"/>
      <c r="CB277" s="31"/>
      <c r="CC277" s="13"/>
      <c r="CD277" s="28"/>
      <c r="CE277" s="13"/>
      <c r="CF277" s="17"/>
      <c r="CG277" s="5"/>
      <c r="CH277" s="22"/>
      <c r="CI277" s="22"/>
      <c r="CJ277" s="22"/>
      <c r="CK277" s="22"/>
      <c r="CL277" s="22"/>
      <c r="CM277" s="22"/>
      <c r="CN277" s="14"/>
      <c r="CO277" s="22"/>
      <c r="CP277" s="22"/>
      <c r="CQ277" s="22"/>
      <c r="CR277" s="22"/>
      <c r="CS277" s="22"/>
      <c r="CT277" s="22"/>
      <c r="CU277" s="30"/>
      <c r="CV277" s="22"/>
      <c r="CW277" s="22"/>
      <c r="CX277" s="22"/>
      <c r="CY277" s="22"/>
      <c r="CZ277" s="22"/>
      <c r="DA277" s="22"/>
      <c r="DB277" s="22"/>
      <c r="DC277" s="35"/>
      <c r="DD277" s="37"/>
      <c r="DE277" s="22"/>
      <c r="DF277" s="5"/>
      <c r="DG277" s="36"/>
      <c r="DH277" s="22"/>
      <c r="DI277" s="14"/>
      <c r="DJ277" s="14"/>
      <c r="DK277" s="23"/>
      <c r="DL277" s="19"/>
      <c r="DM277" s="19"/>
      <c r="DN277" s="15"/>
      <c r="DO277" s="131"/>
      <c r="DQ277" s="74"/>
      <c r="DR277" s="94"/>
      <c r="DS277" s="132"/>
      <c r="DT277" s="75"/>
      <c r="DU277" s="94"/>
      <c r="DV277" s="133"/>
      <c r="DW277" s="94"/>
      <c r="DX277" s="62"/>
      <c r="DZ277" s="75"/>
      <c r="EC277" s="62"/>
    </row>
    <row r="278" spans="1:34" s="130" customFormat="1" ht="12" customHeight="1" hidden="1" outlineLevel="1">
      <c r="A278" s="10"/>
      <c r="B278" s="46"/>
      <c r="C278" s="186" t="s">
        <v>727</v>
      </c>
      <c r="D278" s="107"/>
      <c r="E278" s="81">
        <v>1</v>
      </c>
      <c r="F278" s="196">
        <v>8</v>
      </c>
      <c r="G278" s="214">
        <v>12</v>
      </c>
      <c r="H278" s="112">
        <f>SUM(I278:P278)</f>
        <v>50.61</v>
      </c>
      <c r="I278" s="263">
        <v>13.2</v>
      </c>
      <c r="J278" s="108">
        <v>35</v>
      </c>
      <c r="K278" s="108"/>
      <c r="L278" s="108"/>
      <c r="M278" s="108"/>
      <c r="N278" s="108"/>
      <c r="O278" s="109">
        <v>2.41</v>
      </c>
      <c r="P278" s="109"/>
      <c r="Q278" s="206">
        <f>SUM(R278:Y278)</f>
        <v>50.61</v>
      </c>
      <c r="R278" s="206">
        <v>13.2</v>
      </c>
      <c r="S278" s="206">
        <v>35</v>
      </c>
      <c r="T278" s="206"/>
      <c r="U278" s="206"/>
      <c r="V278" s="206"/>
      <c r="W278" s="206"/>
      <c r="X278" s="206">
        <v>2.41</v>
      </c>
      <c r="Y278" s="112"/>
      <c r="Z278" s="112">
        <f>SUM(AA278:AG278)</f>
        <v>50.61</v>
      </c>
      <c r="AA278" s="235">
        <v>13.2</v>
      </c>
      <c r="AB278" s="235">
        <v>35</v>
      </c>
      <c r="AC278" s="235"/>
      <c r="AD278" s="235"/>
      <c r="AE278" s="235"/>
      <c r="AF278" s="235"/>
      <c r="AG278" s="235">
        <v>2.41</v>
      </c>
      <c r="AH278" s="112"/>
    </row>
    <row r="279" spans="1:34" s="130" customFormat="1" ht="12" customHeight="1" hidden="1" outlineLevel="1">
      <c r="A279" s="10"/>
      <c r="B279" s="46"/>
      <c r="C279" s="188" t="s">
        <v>739</v>
      </c>
      <c r="D279" s="100"/>
      <c r="E279" s="81">
        <v>2</v>
      </c>
      <c r="F279" s="196">
        <v>18</v>
      </c>
      <c r="G279" s="214">
        <v>11</v>
      </c>
      <c r="H279" s="112">
        <f>SUM(I279:P279)</f>
        <v>113.92899999999999</v>
      </c>
      <c r="I279" s="262">
        <v>0.6</v>
      </c>
      <c r="J279" s="108">
        <v>7.7</v>
      </c>
      <c r="K279" s="108"/>
      <c r="L279" s="108">
        <v>16.264</v>
      </c>
      <c r="M279" s="108">
        <v>45</v>
      </c>
      <c r="N279" s="108">
        <v>38.94</v>
      </c>
      <c r="O279" s="109">
        <v>5.425</v>
      </c>
      <c r="P279" s="109"/>
      <c r="Q279" s="206">
        <f>SUM(R279:Y279)</f>
        <v>113.92899999999999</v>
      </c>
      <c r="R279" s="108">
        <v>0.6</v>
      </c>
      <c r="S279" s="108">
        <v>7.7</v>
      </c>
      <c r="T279" s="108"/>
      <c r="U279" s="108">
        <v>16.264</v>
      </c>
      <c r="V279" s="108">
        <v>45</v>
      </c>
      <c r="W279" s="108">
        <v>38.94</v>
      </c>
      <c r="X279" s="109">
        <v>5.425</v>
      </c>
      <c r="Y279" s="109"/>
      <c r="Z279" s="112">
        <f>SUM(AA279:AG279)</f>
        <v>113.92899999999999</v>
      </c>
      <c r="AA279" s="108">
        <v>0.6</v>
      </c>
      <c r="AB279" s="108">
        <v>7.7</v>
      </c>
      <c r="AC279" s="108"/>
      <c r="AD279" s="108">
        <v>16.264</v>
      </c>
      <c r="AE279" s="108">
        <v>45</v>
      </c>
      <c r="AF279" s="108">
        <v>38.94</v>
      </c>
      <c r="AG279" s="109">
        <v>5.425</v>
      </c>
      <c r="AH279" s="109"/>
    </row>
    <row r="280" spans="1:34" s="130" customFormat="1" ht="12" customHeight="1" hidden="1" outlineLevel="1">
      <c r="A280" s="10"/>
      <c r="B280" s="46"/>
      <c r="C280" s="189">
        <f>Z277*0.65*1000</f>
        <v>285272</v>
      </c>
      <c r="D280" s="96"/>
      <c r="E280" s="81">
        <v>3</v>
      </c>
      <c r="F280" s="196">
        <v>38</v>
      </c>
      <c r="G280" s="214">
        <v>40</v>
      </c>
      <c r="H280" s="112">
        <f>SUM(I280:P280)</f>
        <v>160.13500000000002</v>
      </c>
      <c r="I280" s="262">
        <v>52.2</v>
      </c>
      <c r="J280" s="108"/>
      <c r="K280" s="108">
        <v>16.26</v>
      </c>
      <c r="L280" s="108">
        <v>87.03</v>
      </c>
      <c r="M280" s="108"/>
      <c r="N280" s="108"/>
      <c r="O280" s="109">
        <v>4.645</v>
      </c>
      <c r="P280" s="109"/>
      <c r="Q280" s="206">
        <f>SUM(R280:Y280)</f>
        <v>160.13500000000002</v>
      </c>
      <c r="R280" s="108">
        <v>52.2</v>
      </c>
      <c r="S280" s="108"/>
      <c r="T280" s="108">
        <v>16.26</v>
      </c>
      <c r="U280" s="108">
        <v>87.03</v>
      </c>
      <c r="V280" s="108"/>
      <c r="W280" s="108"/>
      <c r="X280" s="109">
        <v>4.645</v>
      </c>
      <c r="Y280" s="109"/>
      <c r="Z280" s="112">
        <f>SUM(AA280:AG280)</f>
        <v>160.13500000000002</v>
      </c>
      <c r="AA280" s="108">
        <v>52.2</v>
      </c>
      <c r="AB280" s="108"/>
      <c r="AC280" s="108">
        <v>16.26</v>
      </c>
      <c r="AD280" s="108">
        <v>87.03</v>
      </c>
      <c r="AE280" s="108"/>
      <c r="AF280" s="108"/>
      <c r="AG280" s="109">
        <v>4.645</v>
      </c>
      <c r="AH280" s="109"/>
    </row>
    <row r="281" spans="1:34" s="130" customFormat="1" ht="12" customHeight="1" hidden="1" outlineLevel="1">
      <c r="A281" s="10"/>
      <c r="B281" s="46"/>
      <c r="C281" s="189">
        <f>Z277*1000-C280</f>
        <v>153608</v>
      </c>
      <c r="D281" s="96"/>
      <c r="E281" s="81">
        <v>4</v>
      </c>
      <c r="F281" s="196">
        <v>6</v>
      </c>
      <c r="G281" s="214">
        <v>10</v>
      </c>
      <c r="H281" s="112">
        <f>SUM(I281:P281)</f>
        <v>93.156</v>
      </c>
      <c r="I281" s="262"/>
      <c r="J281" s="108">
        <v>1.75</v>
      </c>
      <c r="K281" s="108"/>
      <c r="L281" s="108">
        <v>86.97</v>
      </c>
      <c r="M281" s="108"/>
      <c r="N281" s="108"/>
      <c r="O281" s="109">
        <v>4.436</v>
      </c>
      <c r="P281" s="109"/>
      <c r="Q281" s="206">
        <f>SUM(R281:Y281)</f>
        <v>93.156</v>
      </c>
      <c r="R281" s="197"/>
      <c r="S281" s="108">
        <v>1.75</v>
      </c>
      <c r="T281" s="197"/>
      <c r="U281" s="108">
        <v>86.97</v>
      </c>
      <c r="V281" s="197"/>
      <c r="W281" s="108"/>
      <c r="X281" s="109">
        <v>4.436</v>
      </c>
      <c r="Y281" s="236"/>
      <c r="Z281" s="112">
        <f>SUM(AA281:AG281)</f>
        <v>93.156</v>
      </c>
      <c r="AA281" s="108"/>
      <c r="AB281" s="108">
        <v>1.75</v>
      </c>
      <c r="AC281" s="108"/>
      <c r="AD281" s="108">
        <v>86.97</v>
      </c>
      <c r="AE281" s="108"/>
      <c r="AF281" s="108"/>
      <c r="AG281" s="109">
        <v>4.436</v>
      </c>
      <c r="AH281" s="109"/>
    </row>
    <row r="282" spans="1:34" s="130" customFormat="1" ht="12" customHeight="1" hidden="1" outlineLevel="1">
      <c r="A282" s="10"/>
      <c r="B282" s="46"/>
      <c r="C282" s="186" t="s">
        <v>740</v>
      </c>
      <c r="D282" s="46"/>
      <c r="E282" s="81">
        <v>5</v>
      </c>
      <c r="F282" s="196">
        <v>3</v>
      </c>
      <c r="G282" s="214">
        <v>10.5</v>
      </c>
      <c r="H282" s="112">
        <f>SUM(I282:P282)</f>
        <v>21.05</v>
      </c>
      <c r="I282" s="262">
        <v>6</v>
      </c>
      <c r="J282" s="108">
        <v>15.05</v>
      </c>
      <c r="K282" s="108"/>
      <c r="L282" s="108"/>
      <c r="M282" s="108"/>
      <c r="N282" s="108"/>
      <c r="O282" s="109"/>
      <c r="P282" s="109"/>
      <c r="Q282" s="206">
        <f>SUM(R282:Y282)</f>
        <v>21.05</v>
      </c>
      <c r="R282" s="208">
        <v>6</v>
      </c>
      <c r="S282" s="208">
        <v>15.05</v>
      </c>
      <c r="T282" s="208"/>
      <c r="U282" s="208"/>
      <c r="V282" s="208"/>
      <c r="W282" s="208"/>
      <c r="X282" s="212"/>
      <c r="Y282" s="212"/>
      <c r="Z282" s="112">
        <f>SUM(AA282:AG282)</f>
        <v>21.05</v>
      </c>
      <c r="AA282" s="198">
        <v>6</v>
      </c>
      <c r="AB282" s="198">
        <v>15.05</v>
      </c>
      <c r="AC282" s="198"/>
      <c r="AD282" s="198"/>
      <c r="AE282" s="198"/>
      <c r="AF282" s="198"/>
      <c r="AG282" s="199"/>
      <c r="AH282" s="199">
        <f>Z282</f>
        <v>21.05</v>
      </c>
    </row>
    <row r="283" spans="1:34" s="129" customFormat="1" ht="12" customHeight="1" hidden="1" outlineLevel="1">
      <c r="A283" s="98"/>
      <c r="B283" s="46"/>
      <c r="C283" s="46"/>
      <c r="D283" s="46"/>
      <c r="E283" s="81" t="s">
        <v>471</v>
      </c>
      <c r="F283" s="126"/>
      <c r="H283" s="99">
        <f>H277/$H$277</f>
        <v>1</v>
      </c>
      <c r="I283" s="261">
        <f aca="true" t="shared" si="198" ref="I283:O283">I277/$H$277</f>
        <v>0.16405395552314983</v>
      </c>
      <c r="J283" s="99">
        <f t="shared" si="198"/>
        <v>0.135572366022603</v>
      </c>
      <c r="K283" s="99">
        <f t="shared" si="198"/>
        <v>0.03704885162231134</v>
      </c>
      <c r="L283" s="99">
        <f t="shared" si="198"/>
        <v>0.43352169157856363</v>
      </c>
      <c r="M283" s="99">
        <f t="shared" si="198"/>
        <v>0.10253372220196864</v>
      </c>
      <c r="N283" s="99">
        <f t="shared" si="198"/>
        <v>0.08872584761210353</v>
      </c>
      <c r="O283" s="99">
        <f t="shared" si="198"/>
        <v>0.038543565439300036</v>
      </c>
      <c r="P283" s="99"/>
      <c r="Q283" s="99">
        <f>Q277/$Q$277</f>
        <v>1</v>
      </c>
      <c r="R283" s="99">
        <f aca="true" t="shared" si="199" ref="R283:X283">R277/$Q$277</f>
        <v>0.16405395552314983</v>
      </c>
      <c r="S283" s="99">
        <f t="shared" si="199"/>
        <v>0.135572366022603</v>
      </c>
      <c r="T283" s="99">
        <f t="shared" si="199"/>
        <v>0.03704885162231134</v>
      </c>
      <c r="U283" s="99">
        <f t="shared" si="199"/>
        <v>0.43352169157856363</v>
      </c>
      <c r="V283" s="99">
        <f t="shared" si="199"/>
        <v>0.10253372220196864</v>
      </c>
      <c r="W283" s="99">
        <f t="shared" si="199"/>
        <v>0.08872584761210353</v>
      </c>
      <c r="X283" s="99">
        <f t="shared" si="199"/>
        <v>0.038543565439300036</v>
      </c>
      <c r="Y283" s="99"/>
      <c r="Z283" s="99">
        <f>Z277/$Z$277</f>
        <v>1</v>
      </c>
      <c r="AA283" s="99">
        <f aca="true" t="shared" si="200" ref="AA283:AH283">AA277/$Z$277</f>
        <v>0.16405395552314983</v>
      </c>
      <c r="AB283" s="99">
        <f t="shared" si="200"/>
        <v>0.135572366022603</v>
      </c>
      <c r="AC283" s="99">
        <f t="shared" si="200"/>
        <v>0.03704885162231134</v>
      </c>
      <c r="AD283" s="99">
        <f t="shared" si="200"/>
        <v>0.43352169157856363</v>
      </c>
      <c r="AE283" s="99">
        <f t="shared" si="200"/>
        <v>0.10253372220196864</v>
      </c>
      <c r="AF283" s="99">
        <f t="shared" si="200"/>
        <v>0.08872584761210353</v>
      </c>
      <c r="AG283" s="99">
        <f t="shared" si="200"/>
        <v>0.038543565439300036</v>
      </c>
      <c r="AH283" s="99">
        <f t="shared" si="200"/>
        <v>0.04796299671892089</v>
      </c>
    </row>
    <row r="284" spans="1:34" s="129" customFormat="1" ht="12" customHeight="1" hidden="1" outlineLevel="1">
      <c r="A284" s="98"/>
      <c r="B284" s="46"/>
      <c r="C284" s="46"/>
      <c r="D284" s="46"/>
      <c r="E284" s="81" t="s">
        <v>472</v>
      </c>
      <c r="F284" s="126"/>
      <c r="G284" s="81"/>
      <c r="H284" s="99"/>
      <c r="I284" s="261"/>
      <c r="J284" s="99"/>
      <c r="K284" s="99"/>
      <c r="L284" s="99"/>
      <c r="M284" s="99"/>
      <c r="N284" s="99"/>
      <c r="O284" s="99"/>
      <c r="P284" s="99"/>
      <c r="Q284" s="65">
        <f aca="true" t="shared" si="201" ref="Q284:X284">Q277-H277</f>
        <v>0</v>
      </c>
      <c r="R284" s="65">
        <f t="shared" si="201"/>
        <v>0</v>
      </c>
      <c r="S284" s="65">
        <f t="shared" si="201"/>
        <v>0</v>
      </c>
      <c r="T284" s="65">
        <f t="shared" si="201"/>
        <v>0</v>
      </c>
      <c r="U284" s="65">
        <f t="shared" si="201"/>
        <v>0</v>
      </c>
      <c r="V284" s="65">
        <f t="shared" si="201"/>
        <v>0</v>
      </c>
      <c r="W284" s="65">
        <f t="shared" si="201"/>
        <v>0</v>
      </c>
      <c r="X284" s="65">
        <f t="shared" si="201"/>
        <v>0</v>
      </c>
      <c r="Y284" s="65"/>
      <c r="Z284" s="65">
        <f aca="true" t="shared" si="202" ref="Z284:AG284">Z277-Q277</f>
        <v>0</v>
      </c>
      <c r="AA284" s="65">
        <f t="shared" si="202"/>
        <v>0</v>
      </c>
      <c r="AB284" s="65">
        <f t="shared" si="202"/>
        <v>0</v>
      </c>
      <c r="AC284" s="65">
        <f t="shared" si="202"/>
        <v>0</v>
      </c>
      <c r="AD284" s="65">
        <f t="shared" si="202"/>
        <v>0</v>
      </c>
      <c r="AE284" s="65">
        <f t="shared" si="202"/>
        <v>0</v>
      </c>
      <c r="AF284" s="65">
        <f t="shared" si="202"/>
        <v>0</v>
      </c>
      <c r="AG284" s="65">
        <f t="shared" si="202"/>
        <v>0</v>
      </c>
      <c r="AH284" s="65"/>
    </row>
    <row r="285" spans="1:34" s="130" customFormat="1" ht="12" customHeight="1" hidden="1" outlineLevel="1">
      <c r="A285" s="10"/>
      <c r="B285" s="46"/>
      <c r="C285" s="46"/>
      <c r="D285" s="46"/>
      <c r="E285" s="43" t="s">
        <v>473</v>
      </c>
      <c r="F285" s="44"/>
      <c r="G285" s="43"/>
      <c r="H285" s="49"/>
      <c r="I285" s="262"/>
      <c r="J285" s="49"/>
      <c r="K285" s="49"/>
      <c r="L285" s="49"/>
      <c r="M285" s="49"/>
      <c r="N285" s="49"/>
      <c r="O285" s="49"/>
      <c r="P285" s="49"/>
      <c r="Q285" s="49"/>
      <c r="R285" s="193" t="s">
        <v>741</v>
      </c>
      <c r="S285" s="92" t="s">
        <v>742</v>
      </c>
      <c r="T285" s="49"/>
      <c r="U285" s="193"/>
      <c r="V285" s="49"/>
      <c r="W285" s="49"/>
      <c r="X285" s="49"/>
      <c r="Y285" s="49"/>
      <c r="Z285" s="65">
        <f>Z277-H277</f>
        <v>0</v>
      </c>
      <c r="AA285" s="65">
        <f aca="true" t="shared" si="203" ref="AA285:AG285">AA277-I277</f>
        <v>0</v>
      </c>
      <c r="AB285" s="65">
        <f t="shared" si="203"/>
        <v>0</v>
      </c>
      <c r="AC285" s="65">
        <f t="shared" si="203"/>
        <v>0</v>
      </c>
      <c r="AD285" s="65">
        <f t="shared" si="203"/>
        <v>0</v>
      </c>
      <c r="AE285" s="65">
        <f t="shared" si="203"/>
        <v>0</v>
      </c>
      <c r="AF285" s="65">
        <f t="shared" si="203"/>
        <v>0</v>
      </c>
      <c r="AG285" s="65">
        <f t="shared" si="203"/>
        <v>0</v>
      </c>
      <c r="AH285" s="90"/>
    </row>
    <row r="286" spans="1:133" s="56" customFormat="1" ht="12" customHeight="1" collapsed="1">
      <c r="A286" s="88">
        <v>32</v>
      </c>
      <c r="B286" s="106" t="s">
        <v>482</v>
      </c>
      <c r="C286" s="106" t="s">
        <v>927</v>
      </c>
      <c r="D286" s="106"/>
      <c r="E286" s="102"/>
      <c r="F286" s="115">
        <f>SUM(F287:F300)</f>
        <v>0</v>
      </c>
      <c r="G286" s="115">
        <f>SUM(G287:G300)</f>
        <v>157.72727272727272</v>
      </c>
      <c r="H286" s="250">
        <f>SUM(H287:H300)</f>
        <v>1232</v>
      </c>
      <c r="I286" s="269">
        <f aca="true" t="shared" si="204" ref="I286:Q286">SUM(I287:I300)</f>
        <v>145</v>
      </c>
      <c r="J286" s="250">
        <f t="shared" si="204"/>
        <v>94</v>
      </c>
      <c r="K286" s="250">
        <f t="shared" si="204"/>
        <v>0</v>
      </c>
      <c r="L286" s="250">
        <f t="shared" si="204"/>
        <v>288</v>
      </c>
      <c r="M286" s="250">
        <f t="shared" si="204"/>
        <v>329.99999999999994</v>
      </c>
      <c r="N286" s="250">
        <f t="shared" si="204"/>
        <v>335</v>
      </c>
      <c r="O286" s="250">
        <f t="shared" si="204"/>
        <v>40</v>
      </c>
      <c r="P286" s="250">
        <f t="shared" si="204"/>
        <v>0</v>
      </c>
      <c r="Q286" s="250">
        <f t="shared" si="204"/>
        <v>941.0500000000001</v>
      </c>
      <c r="R286" s="250">
        <f aca="true" t="shared" si="205" ref="R286:AH286">SUM(R287:R300)</f>
        <v>535.5</v>
      </c>
      <c r="S286" s="250">
        <f t="shared" si="205"/>
        <v>252</v>
      </c>
      <c r="T286" s="250">
        <f t="shared" si="205"/>
        <v>0</v>
      </c>
      <c r="U286" s="250">
        <f t="shared" si="205"/>
        <v>35</v>
      </c>
      <c r="V286" s="250">
        <f t="shared" si="205"/>
        <v>0</v>
      </c>
      <c r="W286" s="250">
        <f t="shared" si="205"/>
        <v>65</v>
      </c>
      <c r="X286" s="250">
        <f t="shared" si="205"/>
        <v>53.550000000000004</v>
      </c>
      <c r="Y286" s="250">
        <f t="shared" si="205"/>
        <v>0</v>
      </c>
      <c r="Z286" s="250">
        <f t="shared" si="205"/>
        <v>934.2</v>
      </c>
      <c r="AA286" s="250">
        <f t="shared" si="205"/>
        <v>535.5</v>
      </c>
      <c r="AB286" s="250">
        <f t="shared" si="205"/>
        <v>252</v>
      </c>
      <c r="AC286" s="250">
        <f t="shared" si="205"/>
        <v>0</v>
      </c>
      <c r="AD286" s="250">
        <f t="shared" si="205"/>
        <v>35</v>
      </c>
      <c r="AE286" s="250">
        <f t="shared" si="205"/>
        <v>0</v>
      </c>
      <c r="AF286" s="250">
        <f t="shared" si="205"/>
        <v>65</v>
      </c>
      <c r="AG286" s="250">
        <f t="shared" si="205"/>
        <v>46.7</v>
      </c>
      <c r="AH286" s="250">
        <f t="shared" si="205"/>
        <v>0</v>
      </c>
      <c r="AI286" s="250">
        <f aca="true" t="shared" si="206" ref="AI286:AQ286">SUM(AI287:AI300)</f>
        <v>934.1999900000001</v>
      </c>
      <c r="AJ286" s="250">
        <f t="shared" si="206"/>
        <v>330.8</v>
      </c>
      <c r="AK286" s="250">
        <f t="shared" si="206"/>
        <v>456.69999</v>
      </c>
      <c r="AL286" s="250">
        <f t="shared" si="206"/>
        <v>0</v>
      </c>
      <c r="AM286" s="250">
        <f t="shared" si="206"/>
        <v>35</v>
      </c>
      <c r="AN286" s="250">
        <f t="shared" si="206"/>
        <v>0</v>
      </c>
      <c r="AO286" s="250">
        <f t="shared" si="206"/>
        <v>65</v>
      </c>
      <c r="AP286" s="250">
        <f t="shared" si="206"/>
        <v>46.699999999999996</v>
      </c>
      <c r="AQ286" s="250">
        <f t="shared" si="206"/>
        <v>0</v>
      </c>
      <c r="AR286" s="57"/>
      <c r="AS286" s="65"/>
      <c r="AT286" s="59"/>
      <c r="AU286" s="41"/>
      <c r="AV286" s="41"/>
      <c r="AW286" s="11"/>
      <c r="AX286" s="11"/>
      <c r="AY286" s="11"/>
      <c r="AZ286" s="11"/>
      <c r="BA286" s="11"/>
      <c r="BB286" s="11"/>
      <c r="BC286" s="11"/>
      <c r="BD286" s="11"/>
      <c r="BE286" s="60"/>
      <c r="BF286" s="59"/>
      <c r="BG286" s="58"/>
      <c r="BH286" s="59"/>
      <c r="BI286" s="57"/>
      <c r="BJ286" s="60"/>
      <c r="BK286" s="59"/>
      <c r="BL286" s="93"/>
      <c r="BM286" s="61"/>
      <c r="BN286" s="61"/>
      <c r="BO286" s="59"/>
      <c r="BP286" s="18"/>
      <c r="BQ286" s="39"/>
      <c r="BR286" s="12"/>
      <c r="BS286" s="12"/>
      <c r="BT286" s="32"/>
      <c r="BU286" s="14"/>
      <c r="BV286" s="28"/>
      <c r="BW286" s="28"/>
      <c r="BX286" s="14"/>
      <c r="BY286" s="29"/>
      <c r="BZ286" s="14"/>
      <c r="CA286" s="16"/>
      <c r="CB286" s="31"/>
      <c r="CC286" s="13"/>
      <c r="CD286" s="28"/>
      <c r="CE286" s="13"/>
      <c r="CF286" s="17"/>
      <c r="CG286" s="5"/>
      <c r="CH286" s="22"/>
      <c r="CI286" s="22"/>
      <c r="CJ286" s="22"/>
      <c r="CK286" s="22"/>
      <c r="CL286" s="22"/>
      <c r="CM286" s="22"/>
      <c r="CN286" s="14"/>
      <c r="CO286" s="22"/>
      <c r="CP286" s="22"/>
      <c r="CQ286" s="22"/>
      <c r="CR286" s="22"/>
      <c r="CS286" s="22"/>
      <c r="CT286" s="22"/>
      <c r="CU286" s="30"/>
      <c r="CV286" s="22"/>
      <c r="CW286" s="22"/>
      <c r="CX286" s="22"/>
      <c r="CY286" s="22"/>
      <c r="CZ286" s="22"/>
      <c r="DA286" s="22"/>
      <c r="DB286" s="22"/>
      <c r="DC286" s="35"/>
      <c r="DD286" s="37"/>
      <c r="DE286" s="22"/>
      <c r="DF286" s="5"/>
      <c r="DG286" s="36"/>
      <c r="DH286" s="22"/>
      <c r="DI286" s="14"/>
      <c r="DJ286" s="14"/>
      <c r="DK286" s="23"/>
      <c r="DL286" s="19"/>
      <c r="DM286" s="19"/>
      <c r="DN286" s="15"/>
      <c r="DO286" s="131"/>
      <c r="DQ286" s="74"/>
      <c r="DR286" s="94"/>
      <c r="DS286" s="132"/>
      <c r="DT286" s="75"/>
      <c r="DU286" s="94"/>
      <c r="DV286" s="133"/>
      <c r="DW286" s="94"/>
      <c r="DX286" s="62"/>
      <c r="DZ286" s="75"/>
      <c r="EC286" s="62"/>
    </row>
    <row r="287" spans="1:43" s="130" customFormat="1" ht="12" customHeight="1" hidden="1" outlineLevel="1">
      <c r="A287" s="10"/>
      <c r="B287" s="46"/>
      <c r="C287" s="162" t="s">
        <v>928</v>
      </c>
      <c r="D287" s="107"/>
      <c r="E287" s="81">
        <v>1</v>
      </c>
      <c r="F287" s="196"/>
      <c r="G287" s="203">
        <f>60/22</f>
        <v>2.727272727272727</v>
      </c>
      <c r="H287" s="234">
        <v>83</v>
      </c>
      <c r="I287" s="267">
        <v>58.14</v>
      </c>
      <c r="J287" s="174">
        <v>22</v>
      </c>
      <c r="K287" s="251"/>
      <c r="L287" s="251"/>
      <c r="M287" s="251"/>
      <c r="N287" s="251"/>
      <c r="O287" s="174">
        <v>2.86</v>
      </c>
      <c r="P287" s="109"/>
      <c r="Q287" s="240">
        <f>SUM(R287:X287)</f>
        <v>9.9</v>
      </c>
      <c r="R287" s="172">
        <v>9</v>
      </c>
      <c r="S287" s="241"/>
      <c r="T287" s="241"/>
      <c r="U287" s="241"/>
      <c r="V287" s="241"/>
      <c r="W287" s="241"/>
      <c r="X287" s="242">
        <v>0.9</v>
      </c>
      <c r="Y287" s="128"/>
      <c r="Z287" s="240">
        <f>SUM(AA287:AG287)</f>
        <v>9.9</v>
      </c>
      <c r="AA287" s="242">
        <v>9</v>
      </c>
      <c r="AB287" s="241"/>
      <c r="AC287" s="241"/>
      <c r="AD287" s="241"/>
      <c r="AE287" s="241"/>
      <c r="AF287" s="241"/>
      <c r="AG287" s="242">
        <v>0.9</v>
      </c>
      <c r="AH287" s="244"/>
      <c r="AI287" s="240">
        <f>SUM(AJ287:AP287)</f>
        <v>9.95</v>
      </c>
      <c r="AJ287" s="242">
        <v>7.4</v>
      </c>
      <c r="AK287" s="243">
        <v>1.85</v>
      </c>
      <c r="AL287" s="241"/>
      <c r="AM287" s="241"/>
      <c r="AN287" s="241"/>
      <c r="AO287" s="241"/>
      <c r="AP287" s="242">
        <v>0.7</v>
      </c>
      <c r="AQ287" s="244"/>
    </row>
    <row r="288" spans="1:43" s="130" customFormat="1" ht="12" customHeight="1" hidden="1" outlineLevel="1">
      <c r="A288" s="10"/>
      <c r="B288" s="46"/>
      <c r="C288" s="163" t="s">
        <v>975</v>
      </c>
      <c r="D288" s="100"/>
      <c r="E288" s="81">
        <v>2</v>
      </c>
      <c r="F288" s="196"/>
      <c r="G288" s="203">
        <f>60/22</f>
        <v>2.727272727272727</v>
      </c>
      <c r="H288" s="234">
        <v>60</v>
      </c>
      <c r="I288" s="267">
        <v>27.14</v>
      </c>
      <c r="J288" s="174">
        <v>10</v>
      </c>
      <c r="K288" s="251"/>
      <c r="L288" s="174">
        <v>5</v>
      </c>
      <c r="M288" s="252"/>
      <c r="N288" s="174">
        <v>15</v>
      </c>
      <c r="O288" s="174">
        <v>2.86</v>
      </c>
      <c r="P288" s="109"/>
      <c r="Q288" s="240">
        <f aca="true" t="shared" si="207" ref="Q288:Q300">SUM(R288:X288)</f>
        <v>12.3</v>
      </c>
      <c r="R288" s="242">
        <v>9</v>
      </c>
      <c r="S288" s="242">
        <v>2.4</v>
      </c>
      <c r="T288" s="241"/>
      <c r="U288" s="241"/>
      <c r="V288" s="241"/>
      <c r="W288" s="241"/>
      <c r="X288" s="242">
        <v>0.9</v>
      </c>
      <c r="Y288" s="109"/>
      <c r="Z288" s="240">
        <f aca="true" t="shared" si="208" ref="Z288:Z300">SUM(AA288:AG288)</f>
        <v>12.3</v>
      </c>
      <c r="AA288" s="242">
        <v>9</v>
      </c>
      <c r="AB288" s="242">
        <v>2.4</v>
      </c>
      <c r="AC288" s="241"/>
      <c r="AD288" s="241"/>
      <c r="AE288" s="241"/>
      <c r="AF288" s="241"/>
      <c r="AG288" s="242">
        <v>0.9</v>
      </c>
      <c r="AH288" s="245"/>
      <c r="AI288" s="240">
        <f aca="true" t="shared" si="209" ref="AI288:AI300">SUM(AJ288:AP288)</f>
        <v>12.4</v>
      </c>
      <c r="AJ288" s="242">
        <v>6</v>
      </c>
      <c r="AK288" s="242">
        <v>5.4</v>
      </c>
      <c r="AL288" s="241"/>
      <c r="AM288" s="241"/>
      <c r="AN288" s="241"/>
      <c r="AO288" s="241"/>
      <c r="AP288" s="242">
        <v>1</v>
      </c>
      <c r="AQ288" s="245"/>
    </row>
    <row r="289" spans="1:43" s="130" customFormat="1" ht="12" customHeight="1" hidden="1" outlineLevel="1">
      <c r="A289" s="10"/>
      <c r="B289" s="46"/>
      <c r="C289" s="96">
        <f>+Z286*0.65*1000</f>
        <v>607230</v>
      </c>
      <c r="D289" s="96"/>
      <c r="E289" s="81">
        <v>3</v>
      </c>
      <c r="F289" s="196"/>
      <c r="G289" s="203">
        <f>100/22</f>
        <v>4.545454545454546</v>
      </c>
      <c r="H289" s="234">
        <v>35</v>
      </c>
      <c r="I289" s="267">
        <v>12.14</v>
      </c>
      <c r="J289" s="174">
        <v>10</v>
      </c>
      <c r="K289" s="251"/>
      <c r="L289" s="252"/>
      <c r="M289" s="252"/>
      <c r="N289" s="174">
        <v>10</v>
      </c>
      <c r="O289" s="174">
        <v>2.86</v>
      </c>
      <c r="P289" s="109"/>
      <c r="Q289" s="240">
        <f t="shared" si="207"/>
        <v>22.5</v>
      </c>
      <c r="R289" s="242">
        <v>15</v>
      </c>
      <c r="S289" s="242">
        <v>6</v>
      </c>
      <c r="T289" s="241"/>
      <c r="U289" s="241"/>
      <c r="V289" s="241"/>
      <c r="W289" s="241"/>
      <c r="X289" s="242">
        <v>1.5</v>
      </c>
      <c r="Y289" s="109"/>
      <c r="Z289" s="240">
        <f t="shared" si="208"/>
        <v>22.5</v>
      </c>
      <c r="AA289" s="242">
        <v>15</v>
      </c>
      <c r="AB289" s="242">
        <v>6</v>
      </c>
      <c r="AC289" s="241"/>
      <c r="AD289" s="241"/>
      <c r="AE289" s="241"/>
      <c r="AF289" s="241"/>
      <c r="AG289" s="242">
        <v>1.5</v>
      </c>
      <c r="AH289" s="245"/>
      <c r="AI289" s="240">
        <f t="shared" si="209"/>
        <v>22.95</v>
      </c>
      <c r="AJ289" s="242">
        <v>13.1</v>
      </c>
      <c r="AK289" s="242">
        <v>8.15</v>
      </c>
      <c r="AL289" s="241"/>
      <c r="AM289" s="241"/>
      <c r="AN289" s="241"/>
      <c r="AO289" s="241"/>
      <c r="AP289" s="242">
        <v>1.7</v>
      </c>
      <c r="AQ289" s="245"/>
    </row>
    <row r="290" spans="1:43" s="130" customFormat="1" ht="12" customHeight="1" hidden="1" outlineLevel="1">
      <c r="A290" s="10"/>
      <c r="B290" s="46"/>
      <c r="C290" s="96">
        <f>Z286*1000-C289</f>
        <v>326970</v>
      </c>
      <c r="D290" s="96"/>
      <c r="E290" s="81">
        <v>4</v>
      </c>
      <c r="F290" s="196"/>
      <c r="G290" s="203">
        <f>400/22</f>
        <v>18.181818181818183</v>
      </c>
      <c r="H290" s="234">
        <v>20</v>
      </c>
      <c r="I290" s="270"/>
      <c r="J290" s="174">
        <v>10.14</v>
      </c>
      <c r="K290" s="251"/>
      <c r="L290" s="252"/>
      <c r="M290" s="252"/>
      <c r="N290" s="174">
        <v>7</v>
      </c>
      <c r="O290" s="174">
        <v>2.86</v>
      </c>
      <c r="P290" s="109"/>
      <c r="Q290" s="240">
        <f t="shared" si="207"/>
        <v>66</v>
      </c>
      <c r="R290" s="242">
        <v>60</v>
      </c>
      <c r="S290" s="241"/>
      <c r="T290" s="241"/>
      <c r="U290" s="241"/>
      <c r="V290" s="241"/>
      <c r="W290" s="241"/>
      <c r="X290" s="242">
        <v>6</v>
      </c>
      <c r="Y290" s="109"/>
      <c r="Z290" s="240">
        <f t="shared" si="208"/>
        <v>65</v>
      </c>
      <c r="AA290" s="242">
        <v>60</v>
      </c>
      <c r="AB290" s="241"/>
      <c r="AC290" s="241"/>
      <c r="AD290" s="241"/>
      <c r="AE290" s="241"/>
      <c r="AF290" s="241"/>
      <c r="AG290" s="246">
        <v>5</v>
      </c>
      <c r="AH290" s="245"/>
      <c r="AI290" s="240">
        <f t="shared" si="209"/>
        <v>49.60000000000001</v>
      </c>
      <c r="AJ290" s="242">
        <v>17.6</v>
      </c>
      <c r="AK290" s="243">
        <v>29.3</v>
      </c>
      <c r="AL290" s="241"/>
      <c r="AM290" s="241"/>
      <c r="AN290" s="241"/>
      <c r="AO290" s="241"/>
      <c r="AP290" s="246">
        <v>2.7</v>
      </c>
      <c r="AQ290" s="245"/>
    </row>
    <row r="291" spans="1:43" s="130" customFormat="1" ht="12" customHeight="1" hidden="1" outlineLevel="1">
      <c r="A291" s="10"/>
      <c r="B291" s="46"/>
      <c r="C291" s="162" t="s">
        <v>976</v>
      </c>
      <c r="D291" s="46"/>
      <c r="E291" s="81">
        <v>5</v>
      </c>
      <c r="F291" s="196"/>
      <c r="G291" s="203">
        <f>120/22</f>
        <v>5.454545454545454</v>
      </c>
      <c r="H291" s="234">
        <v>62</v>
      </c>
      <c r="I291" s="270"/>
      <c r="J291" s="251"/>
      <c r="K291" s="251"/>
      <c r="L291" s="174">
        <v>49.14</v>
      </c>
      <c r="M291" s="252"/>
      <c r="N291" s="174">
        <v>10</v>
      </c>
      <c r="O291" s="174">
        <v>2.86</v>
      </c>
      <c r="P291" s="109"/>
      <c r="Q291" s="240">
        <f t="shared" si="207"/>
        <v>96.8</v>
      </c>
      <c r="R291" s="242">
        <v>18</v>
      </c>
      <c r="S291" s="242">
        <v>12</v>
      </c>
      <c r="T291" s="243"/>
      <c r="U291" s="242">
        <v>35</v>
      </c>
      <c r="V291" s="241"/>
      <c r="W291" s="242">
        <v>30</v>
      </c>
      <c r="X291" s="242">
        <v>1.8</v>
      </c>
      <c r="Y291" s="199"/>
      <c r="Z291" s="240">
        <f t="shared" si="208"/>
        <v>131.8</v>
      </c>
      <c r="AA291" s="242">
        <v>18</v>
      </c>
      <c r="AB291" s="242">
        <v>12</v>
      </c>
      <c r="AC291" s="243"/>
      <c r="AD291" s="242">
        <v>35</v>
      </c>
      <c r="AE291" s="241"/>
      <c r="AF291" s="247">
        <v>65</v>
      </c>
      <c r="AG291" s="242">
        <v>1.8</v>
      </c>
      <c r="AH291" s="248"/>
      <c r="AI291" s="240">
        <f t="shared" si="209"/>
        <v>130.88</v>
      </c>
      <c r="AJ291" s="242">
        <v>6</v>
      </c>
      <c r="AK291" s="242">
        <v>22.28</v>
      </c>
      <c r="AL291" s="243"/>
      <c r="AM291" s="242">
        <v>35</v>
      </c>
      <c r="AN291" s="241"/>
      <c r="AO291" s="247">
        <v>65</v>
      </c>
      <c r="AP291" s="242">
        <v>2.6</v>
      </c>
      <c r="AQ291" s="248"/>
    </row>
    <row r="292" spans="1:43" s="130" customFormat="1" ht="12" customHeight="1" hidden="1" outlineLevel="1">
      <c r="A292" s="10"/>
      <c r="B292" s="46"/>
      <c r="C292" s="205" t="s">
        <v>977</v>
      </c>
      <c r="D292" s="105"/>
      <c r="E292" s="81">
        <v>6</v>
      </c>
      <c r="F292" s="196"/>
      <c r="G292" s="203">
        <f>260/22</f>
        <v>11.818181818181818</v>
      </c>
      <c r="H292" s="234">
        <v>270</v>
      </c>
      <c r="I292" s="270"/>
      <c r="J292" s="251"/>
      <c r="K292" s="251"/>
      <c r="L292" s="174">
        <v>40.7</v>
      </c>
      <c r="M292" s="174">
        <v>146.44</v>
      </c>
      <c r="N292" s="174">
        <v>80</v>
      </c>
      <c r="O292" s="174">
        <v>2.86</v>
      </c>
      <c r="P292" s="109"/>
      <c r="Q292" s="240">
        <f t="shared" si="207"/>
        <v>66.9</v>
      </c>
      <c r="R292" s="242">
        <v>39</v>
      </c>
      <c r="S292" s="242">
        <v>24</v>
      </c>
      <c r="T292" s="241"/>
      <c r="U292" s="241"/>
      <c r="V292" s="241"/>
      <c r="W292" s="241"/>
      <c r="X292" s="242">
        <v>3.9</v>
      </c>
      <c r="Y292" s="109"/>
      <c r="Z292" s="240">
        <f t="shared" si="208"/>
        <v>66</v>
      </c>
      <c r="AA292" s="242">
        <v>39</v>
      </c>
      <c r="AB292" s="242">
        <v>24</v>
      </c>
      <c r="AC292" s="241"/>
      <c r="AD292" s="241"/>
      <c r="AE292" s="241"/>
      <c r="AF292" s="241"/>
      <c r="AG292" s="246">
        <v>3</v>
      </c>
      <c r="AH292" s="245"/>
      <c r="AI292" s="240">
        <f t="shared" si="209"/>
        <v>51.85999999999999</v>
      </c>
      <c r="AJ292" s="242">
        <v>11.8</v>
      </c>
      <c r="AK292" s="242">
        <v>36.66</v>
      </c>
      <c r="AL292" s="241"/>
      <c r="AM292" s="241"/>
      <c r="AN292" s="241"/>
      <c r="AO292" s="241"/>
      <c r="AP292" s="246">
        <v>3.4</v>
      </c>
      <c r="AQ292" s="245"/>
    </row>
    <row r="293" spans="1:43" s="130" customFormat="1" ht="12" customHeight="1" hidden="1" outlineLevel="1">
      <c r="A293" s="10"/>
      <c r="B293" s="46"/>
      <c r="C293" s="162" t="s">
        <v>978</v>
      </c>
      <c r="D293" s="46"/>
      <c r="E293" s="81">
        <v>7</v>
      </c>
      <c r="F293" s="196"/>
      <c r="G293" s="203">
        <f>220/22</f>
        <v>10</v>
      </c>
      <c r="H293" s="234">
        <v>65</v>
      </c>
      <c r="I293" s="270"/>
      <c r="J293" s="251"/>
      <c r="K293" s="251"/>
      <c r="L293" s="174">
        <v>15</v>
      </c>
      <c r="M293" s="174">
        <v>42.14</v>
      </c>
      <c r="N293" s="174">
        <v>5</v>
      </c>
      <c r="O293" s="174">
        <v>2.86</v>
      </c>
      <c r="P293" s="109"/>
      <c r="Q293" s="240">
        <f t="shared" si="207"/>
        <v>75.3</v>
      </c>
      <c r="R293" s="242">
        <v>33</v>
      </c>
      <c r="S293" s="242">
        <v>39</v>
      </c>
      <c r="T293" s="241"/>
      <c r="U293" s="241"/>
      <c r="V293" s="241"/>
      <c r="W293" s="241"/>
      <c r="X293" s="242">
        <v>3.3</v>
      </c>
      <c r="Y293" s="109"/>
      <c r="Z293" s="240">
        <f t="shared" si="208"/>
        <v>75</v>
      </c>
      <c r="AA293" s="242">
        <v>33</v>
      </c>
      <c r="AB293" s="242">
        <v>39</v>
      </c>
      <c r="AC293" s="241"/>
      <c r="AD293" s="241"/>
      <c r="AE293" s="241"/>
      <c r="AF293" s="241"/>
      <c r="AG293" s="246">
        <v>3</v>
      </c>
      <c r="AH293" s="245"/>
      <c r="AI293" s="240">
        <f t="shared" si="209"/>
        <v>60.8</v>
      </c>
      <c r="AJ293" s="242">
        <v>9</v>
      </c>
      <c r="AK293" s="242">
        <v>47.4</v>
      </c>
      <c r="AL293" s="241"/>
      <c r="AM293" s="241"/>
      <c r="AN293" s="241"/>
      <c r="AO293" s="241"/>
      <c r="AP293" s="246">
        <v>4.4</v>
      </c>
      <c r="AQ293" s="245"/>
    </row>
    <row r="294" spans="1:43" s="130" customFormat="1" ht="12" customHeight="1" hidden="1" outlineLevel="1">
      <c r="A294" s="10"/>
      <c r="B294" s="46"/>
      <c r="C294" s="162" t="s">
        <v>979</v>
      </c>
      <c r="D294" s="46"/>
      <c r="E294" s="81">
        <v>8</v>
      </c>
      <c r="F294" s="196"/>
      <c r="G294" s="203">
        <f>560/22</f>
        <v>25.454545454545453</v>
      </c>
      <c r="H294" s="234">
        <v>62</v>
      </c>
      <c r="I294" s="270"/>
      <c r="J294" s="251"/>
      <c r="K294" s="251"/>
      <c r="L294" s="174">
        <v>59.14</v>
      </c>
      <c r="M294" s="252"/>
      <c r="N294" s="252"/>
      <c r="O294" s="174">
        <v>2.86</v>
      </c>
      <c r="P294" s="109"/>
      <c r="Q294" s="240">
        <f t="shared" si="207"/>
        <v>130.5</v>
      </c>
      <c r="R294" s="242">
        <v>99</v>
      </c>
      <c r="S294" s="242">
        <v>21.6</v>
      </c>
      <c r="T294" s="241"/>
      <c r="U294" s="241"/>
      <c r="V294" s="241"/>
      <c r="W294" s="241"/>
      <c r="X294" s="242">
        <v>9.9</v>
      </c>
      <c r="Y294" s="109"/>
      <c r="Z294" s="240">
        <f t="shared" si="208"/>
        <v>128.6</v>
      </c>
      <c r="AA294" s="242">
        <v>99</v>
      </c>
      <c r="AB294" s="242">
        <v>21.6</v>
      </c>
      <c r="AC294" s="241"/>
      <c r="AD294" s="241"/>
      <c r="AE294" s="241"/>
      <c r="AF294" s="241"/>
      <c r="AG294" s="246">
        <v>8</v>
      </c>
      <c r="AH294" s="245"/>
      <c r="AI294" s="240">
        <f t="shared" si="209"/>
        <v>136.17399</v>
      </c>
      <c r="AJ294" s="242">
        <v>63</v>
      </c>
      <c r="AK294" s="242">
        <v>65.47399</v>
      </c>
      <c r="AL294" s="241"/>
      <c r="AM294" s="241"/>
      <c r="AN294" s="241"/>
      <c r="AO294" s="241"/>
      <c r="AP294" s="246">
        <v>7.7</v>
      </c>
      <c r="AQ294" s="245"/>
    </row>
    <row r="295" spans="1:43" s="130" customFormat="1" ht="12" customHeight="1" hidden="1" outlineLevel="1">
      <c r="A295" s="10"/>
      <c r="B295" s="46"/>
      <c r="C295" s="162" t="s">
        <v>980</v>
      </c>
      <c r="D295" s="46"/>
      <c r="E295" s="81">
        <v>9</v>
      </c>
      <c r="F295" s="196"/>
      <c r="G295" s="203">
        <f>720/22</f>
        <v>32.72727272727273</v>
      </c>
      <c r="H295" s="234">
        <v>154</v>
      </c>
      <c r="I295" s="270"/>
      <c r="J295" s="251"/>
      <c r="K295" s="251"/>
      <c r="L295" s="174">
        <v>84</v>
      </c>
      <c r="M295" s="174">
        <v>67.14</v>
      </c>
      <c r="N295" s="252"/>
      <c r="O295" s="174">
        <v>2.86</v>
      </c>
      <c r="P295" s="109"/>
      <c r="Q295" s="240">
        <f t="shared" si="207"/>
        <v>154.8</v>
      </c>
      <c r="R295" s="242">
        <v>108</v>
      </c>
      <c r="S295" s="242">
        <v>36</v>
      </c>
      <c r="T295" s="241"/>
      <c r="U295" s="241"/>
      <c r="V295" s="241"/>
      <c r="W295" s="241"/>
      <c r="X295" s="242">
        <v>10.8</v>
      </c>
      <c r="Y295" s="109"/>
      <c r="Z295" s="240">
        <f t="shared" si="208"/>
        <v>153</v>
      </c>
      <c r="AA295" s="242">
        <v>108</v>
      </c>
      <c r="AB295" s="242">
        <v>36</v>
      </c>
      <c r="AC295" s="241"/>
      <c r="AD295" s="241"/>
      <c r="AE295" s="241"/>
      <c r="AF295" s="241"/>
      <c r="AG295" s="246">
        <v>9</v>
      </c>
      <c r="AH295" s="245"/>
      <c r="AI295" s="240">
        <f t="shared" si="209"/>
        <v>128.01999999999998</v>
      </c>
      <c r="AJ295" s="242">
        <v>30</v>
      </c>
      <c r="AK295" s="242">
        <v>91.32</v>
      </c>
      <c r="AL295" s="241"/>
      <c r="AM295" s="241"/>
      <c r="AN295" s="241"/>
      <c r="AO295" s="241"/>
      <c r="AP295" s="246">
        <v>6.7</v>
      </c>
      <c r="AQ295" s="245"/>
    </row>
    <row r="296" spans="1:43" s="130" customFormat="1" ht="12" customHeight="1" hidden="1" outlineLevel="1">
      <c r="A296" s="10"/>
      <c r="B296" s="46"/>
      <c r="C296" s="162" t="s">
        <v>981</v>
      </c>
      <c r="D296" s="46"/>
      <c r="E296" s="81">
        <v>10</v>
      </c>
      <c r="F296" s="196"/>
      <c r="G296" s="203">
        <f>180/22</f>
        <v>8.181818181818182</v>
      </c>
      <c r="H296" s="234">
        <v>102</v>
      </c>
      <c r="I296" s="267">
        <v>11.14</v>
      </c>
      <c r="J296" s="174">
        <v>18</v>
      </c>
      <c r="K296" s="251"/>
      <c r="L296" s="174">
        <v>10</v>
      </c>
      <c r="M296" s="252"/>
      <c r="N296" s="174">
        <v>60</v>
      </c>
      <c r="O296" s="174">
        <v>2.86</v>
      </c>
      <c r="P296" s="109"/>
      <c r="Q296" s="240">
        <f t="shared" si="207"/>
        <v>100.7</v>
      </c>
      <c r="R296" s="242">
        <v>27</v>
      </c>
      <c r="S296" s="242">
        <v>36</v>
      </c>
      <c r="T296" s="241"/>
      <c r="U296" s="241"/>
      <c r="V296" s="241"/>
      <c r="W296" s="242">
        <v>35</v>
      </c>
      <c r="X296" s="242">
        <v>2.7</v>
      </c>
      <c r="Y296" s="109"/>
      <c r="Z296" s="240">
        <f t="shared" si="208"/>
        <v>65.6</v>
      </c>
      <c r="AA296" s="242">
        <v>27</v>
      </c>
      <c r="AB296" s="242">
        <v>36</v>
      </c>
      <c r="AC296" s="241"/>
      <c r="AD296" s="241"/>
      <c r="AE296" s="241"/>
      <c r="AF296" s="241"/>
      <c r="AG296" s="246">
        <v>2.6</v>
      </c>
      <c r="AH296" s="245"/>
      <c r="AI296" s="240">
        <f t="shared" si="209"/>
        <v>65.84</v>
      </c>
      <c r="AJ296" s="242">
        <v>21.4</v>
      </c>
      <c r="AK296" s="242">
        <v>40.34</v>
      </c>
      <c r="AL296" s="241"/>
      <c r="AM296" s="241"/>
      <c r="AN296" s="241"/>
      <c r="AO296" s="241"/>
      <c r="AP296" s="246">
        <v>4.1</v>
      </c>
      <c r="AQ296" s="245"/>
    </row>
    <row r="297" spans="1:43" s="130" customFormat="1" ht="12" customHeight="1" hidden="1" outlineLevel="1">
      <c r="A297" s="10"/>
      <c r="B297" s="46"/>
      <c r="C297" s="162" t="s">
        <v>982</v>
      </c>
      <c r="D297" s="46"/>
      <c r="E297" s="81">
        <v>11</v>
      </c>
      <c r="F297" s="196"/>
      <c r="G297" s="203">
        <f>310/22</f>
        <v>14.090909090909092</v>
      </c>
      <c r="H297" s="234">
        <v>70</v>
      </c>
      <c r="I297" s="270"/>
      <c r="J297" s="251"/>
      <c r="K297" s="251"/>
      <c r="L297" s="252"/>
      <c r="M297" s="174">
        <v>27.14</v>
      </c>
      <c r="N297" s="174">
        <v>40</v>
      </c>
      <c r="O297" s="174">
        <v>2.86</v>
      </c>
      <c r="P297" s="109"/>
      <c r="Q297" s="240">
        <f t="shared" si="207"/>
        <v>51.15</v>
      </c>
      <c r="R297" s="242">
        <v>46.5</v>
      </c>
      <c r="S297" s="241"/>
      <c r="T297" s="241"/>
      <c r="U297" s="241"/>
      <c r="V297" s="241"/>
      <c r="W297" s="241"/>
      <c r="X297" s="242">
        <v>4.65</v>
      </c>
      <c r="Y297" s="109"/>
      <c r="Z297" s="240">
        <f t="shared" si="208"/>
        <v>51</v>
      </c>
      <c r="AA297" s="242">
        <v>46.5</v>
      </c>
      <c r="AB297" s="241"/>
      <c r="AC297" s="241"/>
      <c r="AD297" s="241"/>
      <c r="AE297" s="241"/>
      <c r="AF297" s="241"/>
      <c r="AG297" s="246">
        <v>4.5</v>
      </c>
      <c r="AH297" s="245"/>
      <c r="AI297" s="240">
        <f t="shared" si="209"/>
        <v>80.0568</v>
      </c>
      <c r="AJ297" s="242">
        <v>66.5</v>
      </c>
      <c r="AK297" s="243">
        <v>11.676</v>
      </c>
      <c r="AL297" s="241"/>
      <c r="AM297" s="241"/>
      <c r="AN297" s="241"/>
      <c r="AO297" s="241"/>
      <c r="AP297" s="246">
        <v>1.8808</v>
      </c>
      <c r="AQ297" s="245"/>
    </row>
    <row r="298" spans="1:43" s="130" customFormat="1" ht="12" customHeight="1" hidden="1" outlineLevel="1">
      <c r="A298" s="10"/>
      <c r="B298" s="46"/>
      <c r="C298" s="162" t="s">
        <v>983</v>
      </c>
      <c r="D298" s="46"/>
      <c r="E298" s="81">
        <v>12</v>
      </c>
      <c r="F298" s="196"/>
      <c r="G298" s="203">
        <f>140/22</f>
        <v>6.363636363636363</v>
      </c>
      <c r="H298" s="234">
        <v>59</v>
      </c>
      <c r="I298" s="267">
        <v>6.44</v>
      </c>
      <c r="J298" s="174">
        <v>23.86</v>
      </c>
      <c r="K298" s="251"/>
      <c r="L298" s="252"/>
      <c r="M298" s="174">
        <v>20</v>
      </c>
      <c r="N298" s="174">
        <v>5.84</v>
      </c>
      <c r="O298" s="174">
        <v>2.86</v>
      </c>
      <c r="P298" s="109"/>
      <c r="Q298" s="240">
        <f t="shared" si="207"/>
        <v>47.1</v>
      </c>
      <c r="R298" s="242">
        <v>21</v>
      </c>
      <c r="S298" s="242">
        <v>24</v>
      </c>
      <c r="T298" s="241"/>
      <c r="U298" s="241"/>
      <c r="V298" s="241"/>
      <c r="W298" s="241"/>
      <c r="X298" s="242">
        <v>2.1</v>
      </c>
      <c r="Y298" s="109"/>
      <c r="Z298" s="240">
        <f t="shared" si="208"/>
        <v>47</v>
      </c>
      <c r="AA298" s="242">
        <v>21</v>
      </c>
      <c r="AB298" s="242">
        <v>24</v>
      </c>
      <c r="AC298" s="241"/>
      <c r="AD298" s="241"/>
      <c r="AE298" s="241"/>
      <c r="AF298" s="241"/>
      <c r="AG298" s="246">
        <v>2</v>
      </c>
      <c r="AH298" s="249"/>
      <c r="AI298" s="240">
        <f t="shared" si="209"/>
        <v>61.199999999999996</v>
      </c>
      <c r="AJ298" s="242">
        <v>27</v>
      </c>
      <c r="AK298" s="242">
        <v>30.8</v>
      </c>
      <c r="AL298" s="241"/>
      <c r="AM298" s="241"/>
      <c r="AN298" s="241"/>
      <c r="AO298" s="241"/>
      <c r="AP298" s="246">
        <v>3.4</v>
      </c>
      <c r="AQ298" s="249"/>
    </row>
    <row r="299" spans="1:43" s="130" customFormat="1" ht="12" customHeight="1" hidden="1" outlineLevel="1">
      <c r="A299" s="10"/>
      <c r="B299" s="46"/>
      <c r="C299" s="162" t="s">
        <v>984</v>
      </c>
      <c r="D299" s="46"/>
      <c r="E299" s="81">
        <v>13</v>
      </c>
      <c r="F299" s="196"/>
      <c r="G299" s="203">
        <f>190/22</f>
        <v>8.636363636363637</v>
      </c>
      <c r="H299" s="234">
        <v>70</v>
      </c>
      <c r="I299" s="267">
        <v>30</v>
      </c>
      <c r="J299" s="251"/>
      <c r="K299" s="251"/>
      <c r="L299" s="252"/>
      <c r="M299" s="174">
        <v>27.14</v>
      </c>
      <c r="N299" s="174">
        <v>10</v>
      </c>
      <c r="O299" s="174">
        <v>2.86</v>
      </c>
      <c r="P299" s="109"/>
      <c r="Q299" s="240">
        <f t="shared" si="207"/>
        <v>55.35</v>
      </c>
      <c r="R299" s="242">
        <v>28.5</v>
      </c>
      <c r="S299" s="242">
        <v>24</v>
      </c>
      <c r="T299" s="241"/>
      <c r="U299" s="241"/>
      <c r="V299" s="241"/>
      <c r="W299" s="241"/>
      <c r="X299" s="242">
        <v>2.85</v>
      </c>
      <c r="Y299" s="109"/>
      <c r="Z299" s="240">
        <f t="shared" si="208"/>
        <v>55</v>
      </c>
      <c r="AA299" s="242">
        <v>28.5</v>
      </c>
      <c r="AB299" s="242">
        <v>24</v>
      </c>
      <c r="AC299" s="241"/>
      <c r="AD299" s="241"/>
      <c r="AE299" s="241"/>
      <c r="AF299" s="241"/>
      <c r="AG299" s="246">
        <v>2.5</v>
      </c>
      <c r="AH299" s="245"/>
      <c r="AI299" s="240">
        <f t="shared" si="209"/>
        <v>66.32105</v>
      </c>
      <c r="AJ299" s="242">
        <v>29.5</v>
      </c>
      <c r="AK299" s="242">
        <v>33.25</v>
      </c>
      <c r="AL299" s="241"/>
      <c r="AM299" s="241"/>
      <c r="AN299" s="241"/>
      <c r="AO299" s="241"/>
      <c r="AP299" s="246">
        <v>3.57105</v>
      </c>
      <c r="AQ299" s="245"/>
    </row>
    <row r="300" spans="1:43" s="130" customFormat="1" ht="12" customHeight="1" hidden="1" outlineLevel="1">
      <c r="A300" s="10"/>
      <c r="B300" s="46"/>
      <c r="C300" s="162" t="s">
        <v>985</v>
      </c>
      <c r="D300" s="46"/>
      <c r="E300" s="81">
        <v>14</v>
      </c>
      <c r="F300" s="196"/>
      <c r="G300" s="203">
        <f>150/22</f>
        <v>6.818181818181818</v>
      </c>
      <c r="H300" s="234">
        <v>120</v>
      </c>
      <c r="I300" s="270"/>
      <c r="J300" s="251"/>
      <c r="K300" s="251"/>
      <c r="L300" s="174">
        <v>25.02</v>
      </c>
      <c r="M300" s="252"/>
      <c r="N300" s="174">
        <v>92.16</v>
      </c>
      <c r="O300" s="174">
        <v>2.82</v>
      </c>
      <c r="P300" s="109"/>
      <c r="Q300" s="240">
        <f t="shared" si="207"/>
        <v>51.75</v>
      </c>
      <c r="R300" s="242">
        <v>22.5</v>
      </c>
      <c r="S300" s="242">
        <v>27</v>
      </c>
      <c r="T300" s="241"/>
      <c r="U300" s="241"/>
      <c r="V300" s="241"/>
      <c r="W300" s="241"/>
      <c r="X300" s="242">
        <v>2.25</v>
      </c>
      <c r="Y300" s="109"/>
      <c r="Z300" s="240">
        <f t="shared" si="208"/>
        <v>51.5</v>
      </c>
      <c r="AA300" s="242">
        <v>22.5</v>
      </c>
      <c r="AB300" s="242">
        <v>27</v>
      </c>
      <c r="AC300" s="241"/>
      <c r="AD300" s="241"/>
      <c r="AE300" s="241"/>
      <c r="AF300" s="241"/>
      <c r="AG300" s="246">
        <v>2</v>
      </c>
      <c r="AH300" s="245"/>
      <c r="AI300" s="240">
        <f t="shared" si="209"/>
        <v>58.148149999999994</v>
      </c>
      <c r="AJ300" s="242">
        <v>22.5</v>
      </c>
      <c r="AK300" s="242">
        <v>32.8</v>
      </c>
      <c r="AL300" s="241"/>
      <c r="AM300" s="241"/>
      <c r="AN300" s="241"/>
      <c r="AO300" s="241"/>
      <c r="AP300" s="246">
        <v>2.84815</v>
      </c>
      <c r="AQ300" s="245"/>
    </row>
    <row r="301" spans="1:43" s="129" customFormat="1" ht="12" customHeight="1" hidden="1" outlineLevel="1">
      <c r="A301" s="98"/>
      <c r="B301" s="46"/>
      <c r="C301" s="46"/>
      <c r="D301" s="46"/>
      <c r="E301" s="81" t="s">
        <v>471</v>
      </c>
      <c r="F301" s="126"/>
      <c r="H301" s="99">
        <f>H286/$H$286</f>
        <v>1</v>
      </c>
      <c r="I301" s="261">
        <f aca="true" t="shared" si="210" ref="I301:O301">I286/$H$286</f>
        <v>0.1176948051948052</v>
      </c>
      <c r="J301" s="99">
        <f t="shared" si="210"/>
        <v>0.0762987012987013</v>
      </c>
      <c r="K301" s="99">
        <f t="shared" si="210"/>
        <v>0</v>
      </c>
      <c r="L301" s="99">
        <f t="shared" si="210"/>
        <v>0.23376623376623376</v>
      </c>
      <c r="M301" s="99">
        <f t="shared" si="210"/>
        <v>0.2678571428571428</v>
      </c>
      <c r="N301" s="99">
        <f t="shared" si="210"/>
        <v>0.2719155844155844</v>
      </c>
      <c r="O301" s="99">
        <f t="shared" si="210"/>
        <v>0.032467532467532464</v>
      </c>
      <c r="P301" s="99"/>
      <c r="Q301" s="99">
        <f>Q286/$Q$286</f>
        <v>1</v>
      </c>
      <c r="R301" s="99">
        <f aca="true" t="shared" si="211" ref="R301:Y301">R286/$Q$286</f>
        <v>0.5690452154508262</v>
      </c>
      <c r="S301" s="99">
        <f t="shared" si="211"/>
        <v>0.26778598374156526</v>
      </c>
      <c r="T301" s="99">
        <f t="shared" si="211"/>
        <v>0</v>
      </c>
      <c r="U301" s="99">
        <f t="shared" si="211"/>
        <v>0.037192497741884066</v>
      </c>
      <c r="V301" s="99">
        <f t="shared" si="211"/>
        <v>0</v>
      </c>
      <c r="W301" s="99">
        <f t="shared" si="211"/>
        <v>0.06907178152064183</v>
      </c>
      <c r="X301" s="99">
        <f t="shared" si="211"/>
        <v>0.05690452154508262</v>
      </c>
      <c r="Y301" s="99">
        <f t="shared" si="211"/>
        <v>0</v>
      </c>
      <c r="Z301" s="99">
        <f>Z286/$Z$286</f>
        <v>1</v>
      </c>
      <c r="AA301" s="99">
        <f aca="true" t="shared" si="212" ref="AA301:AH301">AA286/$Z$286</f>
        <v>0.5732177263969171</v>
      </c>
      <c r="AB301" s="99">
        <f t="shared" si="212"/>
        <v>0.2697495183044316</v>
      </c>
      <c r="AC301" s="99">
        <f t="shared" si="212"/>
        <v>0</v>
      </c>
      <c r="AD301" s="99">
        <f t="shared" si="212"/>
        <v>0.037465210875615496</v>
      </c>
      <c r="AE301" s="99">
        <f t="shared" si="212"/>
        <v>0</v>
      </c>
      <c r="AF301" s="99">
        <f t="shared" si="212"/>
        <v>0.0695782487690002</v>
      </c>
      <c r="AG301" s="99">
        <f t="shared" si="212"/>
        <v>0.04998929565403554</v>
      </c>
      <c r="AH301" s="99">
        <f t="shared" si="212"/>
        <v>0</v>
      </c>
      <c r="AI301" s="99">
        <f>AI286/$Z$286</f>
        <v>0.999999989295654</v>
      </c>
      <c r="AJ301" s="99">
        <f aca="true" t="shared" si="213" ref="AJ301:AQ301">AJ286/$Z$286</f>
        <v>0.3540997645043888</v>
      </c>
      <c r="AK301" s="99">
        <f t="shared" si="213"/>
        <v>0.488867469492614</v>
      </c>
      <c r="AL301" s="99">
        <f t="shared" si="213"/>
        <v>0</v>
      </c>
      <c r="AM301" s="99">
        <f t="shared" si="213"/>
        <v>0.037465210875615496</v>
      </c>
      <c r="AN301" s="99">
        <f t="shared" si="213"/>
        <v>0</v>
      </c>
      <c r="AO301" s="99">
        <f t="shared" si="213"/>
        <v>0.0695782487690002</v>
      </c>
      <c r="AP301" s="99">
        <f t="shared" si="213"/>
        <v>0.04998929565403553</v>
      </c>
      <c r="AQ301" s="99">
        <f t="shared" si="213"/>
        <v>0</v>
      </c>
    </row>
    <row r="302" spans="1:43" s="129" customFormat="1" ht="12" customHeight="1" hidden="1" outlineLevel="1">
      <c r="A302" s="98"/>
      <c r="B302" s="46"/>
      <c r="C302" s="46"/>
      <c r="D302" s="46"/>
      <c r="E302" s="81" t="s">
        <v>472</v>
      </c>
      <c r="F302" s="126"/>
      <c r="G302" s="81"/>
      <c r="H302" s="99"/>
      <c r="I302" s="261"/>
      <c r="J302" s="99"/>
      <c r="K302" s="99"/>
      <c r="L302" s="99"/>
      <c r="M302" s="99"/>
      <c r="N302" s="99"/>
      <c r="O302" s="99"/>
      <c r="P302" s="99"/>
      <c r="Q302" s="240">
        <f>Q286-H286</f>
        <v>-290.94999999999993</v>
      </c>
      <c r="R302" s="240">
        <f aca="true" t="shared" si="214" ref="R302:Y302">R286-I286</f>
        <v>390.5</v>
      </c>
      <c r="S302" s="240">
        <f t="shared" si="214"/>
        <v>158</v>
      </c>
      <c r="T302" s="240">
        <f t="shared" si="214"/>
        <v>0</v>
      </c>
      <c r="U302" s="240">
        <f t="shared" si="214"/>
        <v>-253</v>
      </c>
      <c r="V302" s="240">
        <f t="shared" si="214"/>
        <v>-329.99999999999994</v>
      </c>
      <c r="W302" s="240">
        <f t="shared" si="214"/>
        <v>-270</v>
      </c>
      <c r="X302" s="240">
        <f t="shared" si="214"/>
        <v>13.550000000000004</v>
      </c>
      <c r="Y302" s="240">
        <f t="shared" si="214"/>
        <v>0</v>
      </c>
      <c r="Z302" s="240">
        <f>+Z286-Q286</f>
        <v>-6.850000000000023</v>
      </c>
      <c r="AA302" s="240">
        <f aca="true" t="shared" si="215" ref="AA302:AH302">+AA286-R286</f>
        <v>0</v>
      </c>
      <c r="AB302" s="240">
        <f t="shared" si="215"/>
        <v>0</v>
      </c>
      <c r="AC302" s="240">
        <f t="shared" si="215"/>
        <v>0</v>
      </c>
      <c r="AD302" s="240">
        <f t="shared" si="215"/>
        <v>0</v>
      </c>
      <c r="AE302" s="240">
        <f t="shared" si="215"/>
        <v>0</v>
      </c>
      <c r="AF302" s="240">
        <f t="shared" si="215"/>
        <v>0</v>
      </c>
      <c r="AG302" s="240">
        <f t="shared" si="215"/>
        <v>-6.850000000000001</v>
      </c>
      <c r="AH302" s="240">
        <f t="shared" si="215"/>
        <v>0</v>
      </c>
      <c r="AI302" s="240">
        <f aca="true" t="shared" si="216" ref="AI302:AQ302">+AI286-Z286</f>
        <v>-9.999999974752427E-06</v>
      </c>
      <c r="AJ302" s="240">
        <f t="shared" si="216"/>
        <v>-204.7</v>
      </c>
      <c r="AK302" s="240">
        <f t="shared" si="216"/>
        <v>204.69999</v>
      </c>
      <c r="AL302" s="240">
        <f t="shared" si="216"/>
        <v>0</v>
      </c>
      <c r="AM302" s="240">
        <f t="shared" si="216"/>
        <v>0</v>
      </c>
      <c r="AN302" s="240">
        <f t="shared" si="216"/>
        <v>0</v>
      </c>
      <c r="AO302" s="240">
        <f t="shared" si="216"/>
        <v>0</v>
      </c>
      <c r="AP302" s="240">
        <f t="shared" si="216"/>
        <v>0</v>
      </c>
      <c r="AQ302" s="240">
        <f t="shared" si="216"/>
        <v>0</v>
      </c>
    </row>
    <row r="303" spans="1:43" s="130" customFormat="1" ht="12" customHeight="1" hidden="1" outlineLevel="1">
      <c r="A303" s="10"/>
      <c r="B303" s="46"/>
      <c r="C303" s="46"/>
      <c r="D303" s="46"/>
      <c r="E303" s="43" t="s">
        <v>472</v>
      </c>
      <c r="F303" s="44"/>
      <c r="G303" s="43"/>
      <c r="H303" s="49"/>
      <c r="I303" s="262"/>
      <c r="J303" s="49"/>
      <c r="K303" s="49"/>
      <c r="L303" s="49"/>
      <c r="M303" s="49"/>
      <c r="N303" s="49"/>
      <c r="O303" s="49"/>
      <c r="P303" s="49"/>
      <c r="Q303" s="49"/>
      <c r="R303" s="49"/>
      <c r="S303" s="84"/>
      <c r="T303" s="49"/>
      <c r="U303" s="49"/>
      <c r="V303" s="49"/>
      <c r="W303" s="49"/>
      <c r="X303" s="49"/>
      <c r="Y303" s="49"/>
      <c r="Z303" s="240">
        <f>+Z286-H286</f>
        <v>-297.79999999999995</v>
      </c>
      <c r="AA303" s="240">
        <f aca="true" t="shared" si="217" ref="AA303:AG303">+AA286-I286</f>
        <v>390.5</v>
      </c>
      <c r="AB303" s="240">
        <f t="shared" si="217"/>
        <v>158</v>
      </c>
      <c r="AC303" s="240">
        <f t="shared" si="217"/>
        <v>0</v>
      </c>
      <c r="AD303" s="240">
        <f t="shared" si="217"/>
        <v>-253</v>
      </c>
      <c r="AE303" s="240">
        <f t="shared" si="217"/>
        <v>-329.99999999999994</v>
      </c>
      <c r="AF303" s="240">
        <f t="shared" si="217"/>
        <v>-270</v>
      </c>
      <c r="AG303" s="240">
        <f t="shared" si="217"/>
        <v>6.700000000000003</v>
      </c>
      <c r="AH303" s="161"/>
      <c r="AI303" s="240">
        <f aca="true" t="shared" si="218" ref="AI303:AP303">+AI286-Q286</f>
        <v>-6.8500099999999975</v>
      </c>
      <c r="AJ303" s="240">
        <f t="shared" si="218"/>
        <v>-204.7</v>
      </c>
      <c r="AK303" s="240">
        <f t="shared" si="218"/>
        <v>204.69999</v>
      </c>
      <c r="AL303" s="240">
        <f t="shared" si="218"/>
        <v>0</v>
      </c>
      <c r="AM303" s="240">
        <f t="shared" si="218"/>
        <v>0</v>
      </c>
      <c r="AN303" s="240">
        <f t="shared" si="218"/>
        <v>0</v>
      </c>
      <c r="AO303" s="240">
        <f t="shared" si="218"/>
        <v>0</v>
      </c>
      <c r="AP303" s="240">
        <f t="shared" si="218"/>
        <v>-6.8500000000000085</v>
      </c>
      <c r="AQ303" s="161"/>
    </row>
    <row r="304" spans="1:43" s="130" customFormat="1" ht="12" customHeight="1" collapsed="1">
      <c r="A304" s="117">
        <v>34</v>
      </c>
      <c r="B304" s="118" t="s">
        <v>482</v>
      </c>
      <c r="C304" s="118" t="s">
        <v>986</v>
      </c>
      <c r="D304" s="118"/>
      <c r="E304" s="119"/>
      <c r="F304" s="125">
        <f>SUM(F305:F315)</f>
        <v>593</v>
      </c>
      <c r="G304" s="125">
        <f>SUM(G305:G315)</f>
        <v>576.0454545454545</v>
      </c>
      <c r="H304" s="111">
        <f>SUM(I304:P304)</f>
        <v>2655.0359999999996</v>
      </c>
      <c r="I304" s="264">
        <v>1181.52</v>
      </c>
      <c r="J304" s="150">
        <v>811</v>
      </c>
      <c r="K304" s="150">
        <v>42.1</v>
      </c>
      <c r="L304" s="150">
        <v>111.2</v>
      </c>
      <c r="M304" s="150">
        <v>35</v>
      </c>
      <c r="N304" s="150">
        <v>403.236</v>
      </c>
      <c r="O304" s="150">
        <v>70.98</v>
      </c>
      <c r="P304" s="111">
        <f aca="true" t="shared" si="219" ref="P304:AH304">SUM(P305:P315)</f>
        <v>0</v>
      </c>
      <c r="Q304" s="111">
        <f>SUM(Q305:Q315)</f>
        <v>2655.0359999999996</v>
      </c>
      <c r="R304" s="111">
        <f t="shared" si="219"/>
        <v>1396.32</v>
      </c>
      <c r="S304" s="111">
        <f t="shared" si="219"/>
        <v>793.176</v>
      </c>
      <c r="T304" s="111">
        <f t="shared" si="219"/>
        <v>20</v>
      </c>
      <c r="U304" s="111">
        <f t="shared" si="219"/>
        <v>104.75999999999999</v>
      </c>
      <c r="V304" s="111">
        <f t="shared" si="219"/>
        <v>0</v>
      </c>
      <c r="W304" s="111">
        <f t="shared" si="219"/>
        <v>112.1</v>
      </c>
      <c r="X304" s="111">
        <f t="shared" si="219"/>
        <v>100.68</v>
      </c>
      <c r="Y304" s="111">
        <f t="shared" si="219"/>
        <v>128</v>
      </c>
      <c r="Z304" s="111">
        <f>SUM(Z305:Z315)</f>
        <v>2584.0359999999996</v>
      </c>
      <c r="AA304" s="89">
        <f t="shared" si="219"/>
        <v>1396.32</v>
      </c>
      <c r="AB304" s="89">
        <f t="shared" si="219"/>
        <v>793.176</v>
      </c>
      <c r="AC304" s="89">
        <f t="shared" si="219"/>
        <v>20</v>
      </c>
      <c r="AD304" s="89">
        <f t="shared" si="219"/>
        <v>88.56</v>
      </c>
      <c r="AE304" s="89">
        <f t="shared" si="219"/>
        <v>0</v>
      </c>
      <c r="AF304" s="89">
        <f t="shared" si="219"/>
        <v>57.3</v>
      </c>
      <c r="AG304" s="89">
        <f t="shared" si="219"/>
        <v>100.68</v>
      </c>
      <c r="AH304" s="89">
        <f t="shared" si="219"/>
        <v>128</v>
      </c>
      <c r="AI304" s="130">
        <f>SUM(AJ304:AQ304)</f>
        <v>2584.0399999999995</v>
      </c>
      <c r="AJ304" s="130">
        <v>1646.09</v>
      </c>
      <c r="AK304" s="130">
        <v>580.63</v>
      </c>
      <c r="AL304" s="130">
        <v>42.09</v>
      </c>
      <c r="AM304" s="727">
        <v>40.12</v>
      </c>
      <c r="AO304" s="130">
        <v>93</v>
      </c>
      <c r="AP304" s="130">
        <v>78.12</v>
      </c>
      <c r="AQ304" s="130">
        <v>103.99</v>
      </c>
    </row>
    <row r="305" spans="1:34" s="130" customFormat="1" ht="12" customHeight="1" hidden="1" outlineLevel="1">
      <c r="A305" s="10"/>
      <c r="B305" s="46"/>
      <c r="C305" s="145" t="s">
        <v>636</v>
      </c>
      <c r="D305" s="46"/>
      <c r="E305" s="121">
        <v>1</v>
      </c>
      <c r="F305" s="148">
        <v>8</v>
      </c>
      <c r="G305" s="149">
        <f>109/22</f>
        <v>4.954545454545454</v>
      </c>
      <c r="H305" s="143"/>
      <c r="I305" s="263"/>
      <c r="J305" s="48"/>
      <c r="K305" s="48"/>
      <c r="L305" s="48"/>
      <c r="M305" s="48"/>
      <c r="N305" s="48"/>
      <c r="O305" s="83"/>
      <c r="P305" s="83"/>
      <c r="Q305" s="112">
        <f>SUM(R305:Y305)</f>
        <v>19.48</v>
      </c>
      <c r="R305" s="146">
        <v>5.98</v>
      </c>
      <c r="S305" s="146">
        <v>13.5</v>
      </c>
      <c r="T305" s="146"/>
      <c r="U305" s="146"/>
      <c r="V305" s="146"/>
      <c r="W305" s="146"/>
      <c r="X305" s="146"/>
      <c r="Y305" s="109"/>
      <c r="Z305" s="80">
        <f>SUM(AA305:AH305)</f>
        <v>19.48</v>
      </c>
      <c r="AA305" s="146">
        <v>5.98</v>
      </c>
      <c r="AB305" s="146">
        <v>13.5</v>
      </c>
      <c r="AC305" s="146"/>
      <c r="AD305" s="146"/>
      <c r="AE305" s="146"/>
      <c r="AF305" s="146"/>
      <c r="AG305" s="146"/>
      <c r="AH305" s="109"/>
    </row>
    <row r="306" spans="1:34" s="130" customFormat="1" ht="12" customHeight="1" hidden="1" outlineLevel="1">
      <c r="A306" s="10"/>
      <c r="B306" s="46"/>
      <c r="C306" s="145" t="s">
        <v>644</v>
      </c>
      <c r="D306" s="46"/>
      <c r="E306" s="81">
        <v>2</v>
      </c>
      <c r="F306" s="148"/>
      <c r="G306" s="149">
        <f>1484/22</f>
        <v>67.45454545454545</v>
      </c>
      <c r="H306" s="143"/>
      <c r="I306" s="263"/>
      <c r="J306" s="48"/>
      <c r="K306" s="48"/>
      <c r="L306" s="48"/>
      <c r="M306" s="48"/>
      <c r="N306" s="48"/>
      <c r="O306" s="83"/>
      <c r="P306" s="83"/>
      <c r="Q306" s="112">
        <f aca="true" t="shared" si="220" ref="Q306:Q315">SUM(R306:Y306)</f>
        <v>409.03599999999994</v>
      </c>
      <c r="R306" s="146"/>
      <c r="S306" s="146">
        <v>267.036</v>
      </c>
      <c r="T306" s="146"/>
      <c r="U306" s="147">
        <v>32.4</v>
      </c>
      <c r="V306" s="146"/>
      <c r="W306" s="147">
        <v>109.6</v>
      </c>
      <c r="X306" s="146"/>
      <c r="Y306" s="109"/>
      <c r="Z306" s="80">
        <f aca="true" t="shared" si="221" ref="Z306:Z315">SUM(AA306:AH306)</f>
        <v>338.036</v>
      </c>
      <c r="AA306" s="146"/>
      <c r="AB306" s="146">
        <v>267.036</v>
      </c>
      <c r="AC306" s="146"/>
      <c r="AD306" s="147">
        <f>32.4/2</f>
        <v>16.2</v>
      </c>
      <c r="AE306" s="146"/>
      <c r="AF306" s="147">
        <f>109.6/2</f>
        <v>54.8</v>
      </c>
      <c r="AG306" s="146"/>
      <c r="AH306" s="109"/>
    </row>
    <row r="307" spans="1:34" s="130" customFormat="1" ht="12" customHeight="1" hidden="1" outlineLevel="1">
      <c r="A307" s="10"/>
      <c r="B307" s="46"/>
      <c r="C307" s="46" t="s">
        <v>637</v>
      </c>
      <c r="D307" s="96"/>
      <c r="E307" s="121">
        <v>3</v>
      </c>
      <c r="F307" s="148">
        <v>3</v>
      </c>
      <c r="G307" s="149">
        <f>30/22</f>
        <v>1.3636363636363635</v>
      </c>
      <c r="H307" s="143"/>
      <c r="I307" s="263"/>
      <c r="J307" s="48"/>
      <c r="K307" s="48"/>
      <c r="L307" s="48"/>
      <c r="M307" s="48"/>
      <c r="N307" s="48"/>
      <c r="O307" s="83"/>
      <c r="P307" s="83"/>
      <c r="Q307" s="112">
        <f t="shared" si="220"/>
        <v>5.4</v>
      </c>
      <c r="R307" s="146"/>
      <c r="S307" s="146">
        <v>5.4</v>
      </c>
      <c r="T307" s="146"/>
      <c r="U307" s="146"/>
      <c r="V307" s="146"/>
      <c r="W307" s="146"/>
      <c r="X307" s="146"/>
      <c r="Y307" s="109"/>
      <c r="Z307" s="80">
        <f t="shared" si="221"/>
        <v>5.4</v>
      </c>
      <c r="AA307" s="146"/>
      <c r="AB307" s="146">
        <v>5.4</v>
      </c>
      <c r="AC307" s="146"/>
      <c r="AD307" s="146"/>
      <c r="AE307" s="146"/>
      <c r="AF307" s="146"/>
      <c r="AG307" s="146"/>
      <c r="AH307" s="109"/>
    </row>
    <row r="308" spans="1:34" s="130" customFormat="1" ht="12" customHeight="1" hidden="1" outlineLevel="1">
      <c r="A308" s="10"/>
      <c r="B308" s="46"/>
      <c r="C308" s="139" t="s">
        <v>638</v>
      </c>
      <c r="D308" s="46"/>
      <c r="E308" s="121">
        <v>4</v>
      </c>
      <c r="F308" s="148">
        <v>56</v>
      </c>
      <c r="G308" s="149">
        <f>1397/22</f>
        <v>63.5</v>
      </c>
      <c r="H308" s="143"/>
      <c r="I308" s="263"/>
      <c r="J308" s="48"/>
      <c r="K308" s="48"/>
      <c r="L308" s="48"/>
      <c r="M308" s="48"/>
      <c r="N308" s="48"/>
      <c r="O308" s="83"/>
      <c r="P308" s="83"/>
      <c r="Q308" s="112">
        <f t="shared" si="220"/>
        <v>326.32</v>
      </c>
      <c r="R308" s="146"/>
      <c r="S308" s="146">
        <v>251.46</v>
      </c>
      <c r="T308" s="146"/>
      <c r="U308" s="146">
        <v>72.36</v>
      </c>
      <c r="V308" s="146"/>
      <c r="W308" s="146">
        <v>2.5</v>
      </c>
      <c r="X308" s="146"/>
      <c r="Y308" s="109"/>
      <c r="Z308" s="80">
        <f t="shared" si="221"/>
        <v>326.32</v>
      </c>
      <c r="AA308" s="146"/>
      <c r="AB308" s="146">
        <v>251.46</v>
      </c>
      <c r="AC308" s="146"/>
      <c r="AD308" s="146">
        <v>72.36</v>
      </c>
      <c r="AE308" s="146"/>
      <c r="AF308" s="146">
        <v>2.5</v>
      </c>
      <c r="AG308" s="146"/>
      <c r="AH308" s="109"/>
    </row>
    <row r="309" spans="1:34" s="130" customFormat="1" ht="12" customHeight="1" hidden="1" outlineLevel="1">
      <c r="A309" s="10"/>
      <c r="B309" s="46"/>
      <c r="C309" s="120" t="s">
        <v>639</v>
      </c>
      <c r="D309" s="46"/>
      <c r="E309" s="121">
        <v>5</v>
      </c>
      <c r="F309" s="148">
        <f>16*3+25+3</f>
        <v>76</v>
      </c>
      <c r="G309" s="149">
        <f>2500/22</f>
        <v>113.63636363636364</v>
      </c>
      <c r="H309" s="143"/>
      <c r="I309" s="263"/>
      <c r="J309" s="48"/>
      <c r="K309" s="48"/>
      <c r="L309" s="48"/>
      <c r="M309" s="48"/>
      <c r="N309" s="48"/>
      <c r="O309" s="83"/>
      <c r="P309" s="83"/>
      <c r="Q309" s="112">
        <f t="shared" si="220"/>
        <v>685</v>
      </c>
      <c r="R309" s="146">
        <v>470</v>
      </c>
      <c r="S309" s="146">
        <v>115</v>
      </c>
      <c r="T309" s="146">
        <v>20</v>
      </c>
      <c r="U309" s="146"/>
      <c r="V309" s="146"/>
      <c r="W309" s="146"/>
      <c r="X309" s="146">
        <f>35+45</f>
        <v>80</v>
      </c>
      <c r="Y309" s="109"/>
      <c r="Z309" s="80">
        <f t="shared" si="221"/>
        <v>685</v>
      </c>
      <c r="AA309" s="146">
        <v>470</v>
      </c>
      <c r="AB309" s="146">
        <v>115</v>
      </c>
      <c r="AC309" s="146">
        <v>20</v>
      </c>
      <c r="AD309" s="146"/>
      <c r="AE309" s="146"/>
      <c r="AF309" s="146"/>
      <c r="AG309" s="146">
        <f>35+45</f>
        <v>80</v>
      </c>
      <c r="AH309" s="109"/>
    </row>
    <row r="310" spans="1:34" s="130" customFormat="1" ht="12" customHeight="1" hidden="1" outlineLevel="1">
      <c r="A310" s="10"/>
      <c r="B310" s="46"/>
      <c r="C310" s="120" t="s">
        <v>645</v>
      </c>
      <c r="D310" s="46"/>
      <c r="E310" s="81">
        <v>6</v>
      </c>
      <c r="F310" s="148">
        <v>11</v>
      </c>
      <c r="G310" s="149">
        <f>278/22</f>
        <v>12.636363636363637</v>
      </c>
      <c r="H310" s="143"/>
      <c r="I310" s="263"/>
      <c r="J310" s="48"/>
      <c r="K310" s="48"/>
      <c r="L310" s="48"/>
      <c r="M310" s="48"/>
      <c r="N310" s="48"/>
      <c r="O310" s="83"/>
      <c r="P310" s="83"/>
      <c r="Q310" s="112">
        <f t="shared" si="220"/>
        <v>50.08</v>
      </c>
      <c r="R310" s="146"/>
      <c r="S310" s="146">
        <v>50.08</v>
      </c>
      <c r="T310" s="146"/>
      <c r="U310" s="146"/>
      <c r="V310" s="146"/>
      <c r="W310" s="146"/>
      <c r="X310" s="146"/>
      <c r="Y310" s="109"/>
      <c r="Z310" s="80">
        <f t="shared" si="221"/>
        <v>50.08</v>
      </c>
      <c r="AA310" s="146"/>
      <c r="AB310" s="146">
        <v>50.08</v>
      </c>
      <c r="AC310" s="146"/>
      <c r="AD310" s="146"/>
      <c r="AE310" s="146"/>
      <c r="AF310" s="146"/>
      <c r="AG310" s="146"/>
      <c r="AH310" s="109"/>
    </row>
    <row r="311" spans="1:34" s="130" customFormat="1" ht="12" customHeight="1" hidden="1" outlineLevel="1">
      <c r="A311" s="10"/>
      <c r="B311" s="46"/>
      <c r="C311" s="46" t="s">
        <v>640</v>
      </c>
      <c r="D311" s="46"/>
      <c r="E311" s="121">
        <v>7</v>
      </c>
      <c r="F311" s="148">
        <v>5</v>
      </c>
      <c r="G311" s="149"/>
      <c r="H311" s="143"/>
      <c r="I311" s="263"/>
      <c r="J311" s="48"/>
      <c r="K311" s="48"/>
      <c r="L311" s="48"/>
      <c r="M311" s="48"/>
      <c r="N311" s="48"/>
      <c r="O311" s="83"/>
      <c r="P311" s="83"/>
      <c r="Q311" s="112">
        <f t="shared" si="220"/>
        <v>18</v>
      </c>
      <c r="R311" s="146"/>
      <c r="S311" s="146"/>
      <c r="T311" s="146"/>
      <c r="U311" s="146"/>
      <c r="V311" s="146"/>
      <c r="W311" s="146"/>
      <c r="X311" s="146"/>
      <c r="Y311" s="141">
        <v>18</v>
      </c>
      <c r="Z311" s="80">
        <f t="shared" si="221"/>
        <v>18</v>
      </c>
      <c r="AA311" s="146"/>
      <c r="AB311" s="146"/>
      <c r="AC311" s="146"/>
      <c r="AD311" s="146"/>
      <c r="AE311" s="146"/>
      <c r="AF311" s="146"/>
      <c r="AG311" s="146"/>
      <c r="AH311" s="141">
        <v>18</v>
      </c>
    </row>
    <row r="312" spans="1:34" s="130" customFormat="1" ht="12" customHeight="1" hidden="1" outlineLevel="1">
      <c r="A312" s="10"/>
      <c r="B312" s="46"/>
      <c r="C312" s="46" t="s">
        <v>641</v>
      </c>
      <c r="D312" s="46"/>
      <c r="E312" s="121">
        <v>8</v>
      </c>
      <c r="F312" s="148">
        <f>2*16+2*28+2*6+2*16+2*15</f>
        <v>162</v>
      </c>
      <c r="G312" s="149">
        <f>2700/22</f>
        <v>122.72727272727273</v>
      </c>
      <c r="H312" s="143"/>
      <c r="I312" s="263"/>
      <c r="J312" s="48"/>
      <c r="K312" s="48"/>
      <c r="L312" s="48"/>
      <c r="M312" s="48"/>
      <c r="N312" s="48"/>
      <c r="O312" s="83"/>
      <c r="P312" s="83"/>
      <c r="Q312" s="112">
        <f t="shared" si="220"/>
        <v>374.4</v>
      </c>
      <c r="R312" s="146">
        <v>374.4</v>
      </c>
      <c r="S312" s="146"/>
      <c r="T312" s="146"/>
      <c r="U312" s="146"/>
      <c r="V312" s="146"/>
      <c r="W312" s="146"/>
      <c r="X312" s="146"/>
      <c r="Y312" s="109"/>
      <c r="Z312" s="80">
        <f t="shared" si="221"/>
        <v>374.4</v>
      </c>
      <c r="AA312" s="146">
        <v>374.4</v>
      </c>
      <c r="AB312" s="146"/>
      <c r="AC312" s="146"/>
      <c r="AD312" s="146"/>
      <c r="AE312" s="146"/>
      <c r="AF312" s="146"/>
      <c r="AG312" s="146"/>
      <c r="AH312" s="109"/>
    </row>
    <row r="313" spans="1:34" s="130" customFormat="1" ht="12" customHeight="1" hidden="1" outlineLevel="1">
      <c r="A313" s="10"/>
      <c r="B313" s="46"/>
      <c r="C313" s="46" t="s">
        <v>642</v>
      </c>
      <c r="D313" s="46"/>
      <c r="E313" s="121">
        <v>9</v>
      </c>
      <c r="F313" s="148">
        <v>175</v>
      </c>
      <c r="G313" s="149">
        <f>3850/22</f>
        <v>175</v>
      </c>
      <c r="H313" s="143"/>
      <c r="I313" s="263"/>
      <c r="J313" s="40"/>
      <c r="K313" s="48"/>
      <c r="L313" s="48"/>
      <c r="M313" s="48"/>
      <c r="N313" s="48"/>
      <c r="O313" s="83"/>
      <c r="P313" s="83"/>
      <c r="Q313" s="112">
        <f t="shared" si="220"/>
        <v>507.12</v>
      </c>
      <c r="R313" s="146">
        <v>507.12</v>
      </c>
      <c r="S313" s="146"/>
      <c r="T313" s="146"/>
      <c r="U313" s="146"/>
      <c r="V313" s="146"/>
      <c r="W313" s="146"/>
      <c r="X313" s="146"/>
      <c r="Y313" s="109"/>
      <c r="Z313" s="80">
        <f t="shared" si="221"/>
        <v>507.12</v>
      </c>
      <c r="AA313" s="146">
        <v>507.12</v>
      </c>
      <c r="AB313" s="146"/>
      <c r="AC313" s="146"/>
      <c r="AD313" s="146"/>
      <c r="AE313" s="146"/>
      <c r="AF313" s="146"/>
      <c r="AG313" s="146"/>
      <c r="AH313" s="109"/>
    </row>
    <row r="314" spans="1:34" s="130" customFormat="1" ht="12" customHeight="1" hidden="1" outlineLevel="1">
      <c r="A314" s="10"/>
      <c r="B314" s="46"/>
      <c r="C314" s="46" t="s">
        <v>646</v>
      </c>
      <c r="D314" s="46"/>
      <c r="E314" s="121">
        <v>10</v>
      </c>
      <c r="F314" s="148">
        <f>21*3</f>
        <v>63</v>
      </c>
      <c r="G314" s="149">
        <f>159/22</f>
        <v>7.2272727272727275</v>
      </c>
      <c r="H314" s="143"/>
      <c r="I314" s="263"/>
      <c r="J314" s="40"/>
      <c r="K314" s="48"/>
      <c r="L314" s="48"/>
      <c r="M314" s="48"/>
      <c r="N314" s="48"/>
      <c r="O314" s="83"/>
      <c r="P314" s="83"/>
      <c r="Q314" s="112">
        <f t="shared" si="220"/>
        <v>139.5</v>
      </c>
      <c r="R314" s="146">
        <v>8.82</v>
      </c>
      <c r="S314" s="146"/>
      <c r="T314" s="146"/>
      <c r="U314" s="146"/>
      <c r="V314" s="146"/>
      <c r="W314" s="146"/>
      <c r="X314" s="147">
        <f>130.68-Y314</f>
        <v>20.680000000000007</v>
      </c>
      <c r="Y314" s="141">
        <v>110</v>
      </c>
      <c r="Z314" s="80">
        <f t="shared" si="221"/>
        <v>139.5</v>
      </c>
      <c r="AA314" s="146">
        <v>8.82</v>
      </c>
      <c r="AB314" s="146"/>
      <c r="AC314" s="146"/>
      <c r="AD314" s="146"/>
      <c r="AE314" s="146"/>
      <c r="AF314" s="146"/>
      <c r="AG314" s="147">
        <f>130.68-AH314</f>
        <v>20.680000000000007</v>
      </c>
      <c r="AH314" s="141">
        <v>110</v>
      </c>
    </row>
    <row r="315" spans="1:34" s="130" customFormat="1" ht="12" customHeight="1" hidden="1" outlineLevel="1">
      <c r="A315" s="10"/>
      <c r="B315" s="46"/>
      <c r="C315" s="46" t="s">
        <v>643</v>
      </c>
      <c r="D315" s="46"/>
      <c r="E315" s="121">
        <v>11</v>
      </c>
      <c r="F315" s="148">
        <v>34</v>
      </c>
      <c r="G315" s="149">
        <f>166/22</f>
        <v>7.545454545454546</v>
      </c>
      <c r="H315" s="143"/>
      <c r="I315" s="263"/>
      <c r="J315" s="48"/>
      <c r="K315" s="48"/>
      <c r="L315" s="48"/>
      <c r="M315" s="48"/>
      <c r="N315" s="48"/>
      <c r="O315" s="83"/>
      <c r="P315" s="83"/>
      <c r="Q315" s="112">
        <f t="shared" si="220"/>
        <v>120.7</v>
      </c>
      <c r="R315" s="146">
        <v>30</v>
      </c>
      <c r="S315" s="146">
        <v>90.7</v>
      </c>
      <c r="T315" s="146"/>
      <c r="U315" s="146"/>
      <c r="V315" s="146"/>
      <c r="W315" s="146"/>
      <c r="X315" s="146"/>
      <c r="Y315" s="109"/>
      <c r="Z315" s="80">
        <f t="shared" si="221"/>
        <v>120.7</v>
      </c>
      <c r="AA315" s="146">
        <v>30</v>
      </c>
      <c r="AB315" s="146">
        <v>90.7</v>
      </c>
      <c r="AC315" s="146"/>
      <c r="AD315" s="146"/>
      <c r="AE315" s="146"/>
      <c r="AF315" s="146"/>
      <c r="AG315" s="146"/>
      <c r="AH315" s="109"/>
    </row>
    <row r="316" spans="1:34" s="129" customFormat="1" ht="12" customHeight="1" hidden="1" outlineLevel="1">
      <c r="A316" s="98"/>
      <c r="B316" s="46"/>
      <c r="C316" s="96">
        <f>Z303*0.65</f>
        <v>-193.56999999999996</v>
      </c>
      <c r="D316" s="46"/>
      <c r="E316" s="81" t="s">
        <v>471</v>
      </c>
      <c r="F316" s="126"/>
      <c r="G316" s="81"/>
      <c r="H316" s="99">
        <f>H304/$H$304</f>
        <v>1</v>
      </c>
      <c r="I316" s="261">
        <f aca="true" t="shared" si="222" ref="I316:P316">I304/$H$304</f>
        <v>0.4450109151062359</v>
      </c>
      <c r="J316" s="99">
        <f t="shared" si="222"/>
        <v>0.30545725180374206</v>
      </c>
      <c r="K316" s="99">
        <f t="shared" si="222"/>
        <v>0.015856658817432232</v>
      </c>
      <c r="L316" s="99">
        <f t="shared" si="222"/>
        <v>0.04188267127074737</v>
      </c>
      <c r="M316" s="99">
        <f t="shared" si="222"/>
        <v>0.013182495453922284</v>
      </c>
      <c r="N316" s="99">
        <f t="shared" si="222"/>
        <v>0.1518759067673659</v>
      </c>
      <c r="O316" s="99">
        <f t="shared" si="222"/>
        <v>0.026734100780554392</v>
      </c>
      <c r="P316" s="99">
        <f t="shared" si="222"/>
        <v>0</v>
      </c>
      <c r="Q316" s="99">
        <f>Q304/$Q$304</f>
        <v>1</v>
      </c>
      <c r="R316" s="99">
        <f aca="true" t="shared" si="223" ref="R316:Y316">R304/$Q$304</f>
        <v>0.5259137729205933</v>
      </c>
      <c r="S316" s="99">
        <f t="shared" si="223"/>
        <v>0.2987439718331503</v>
      </c>
      <c r="T316" s="99">
        <f t="shared" si="223"/>
        <v>0.007532854545098448</v>
      </c>
      <c r="U316" s="99">
        <f t="shared" si="223"/>
        <v>0.039457092107225665</v>
      </c>
      <c r="V316" s="99">
        <f t="shared" si="223"/>
        <v>0</v>
      </c>
      <c r="W316" s="99">
        <f t="shared" si="223"/>
        <v>0.0422216497252768</v>
      </c>
      <c r="X316" s="99">
        <f t="shared" si="223"/>
        <v>0.03792038978002559</v>
      </c>
      <c r="Y316" s="99">
        <f t="shared" si="223"/>
        <v>0.04821026908863007</v>
      </c>
      <c r="Z316" s="99">
        <f>Z304/$Z$304</f>
        <v>1</v>
      </c>
      <c r="AA316" s="99">
        <f aca="true" t="shared" si="224" ref="AA316:AH316">AA304/$Z$304</f>
        <v>0.5403639887369991</v>
      </c>
      <c r="AB316" s="99">
        <f t="shared" si="224"/>
        <v>0.30695237992040364</v>
      </c>
      <c r="AC316" s="99">
        <f t="shared" si="224"/>
        <v>0.007739830250042957</v>
      </c>
      <c r="AD316" s="99">
        <f t="shared" si="224"/>
        <v>0.034271968347190214</v>
      </c>
      <c r="AE316" s="99">
        <f t="shared" si="224"/>
        <v>0</v>
      </c>
      <c r="AF316" s="99">
        <f t="shared" si="224"/>
        <v>0.02217461366637307</v>
      </c>
      <c r="AG316" s="99">
        <f t="shared" si="224"/>
        <v>0.03896230547871625</v>
      </c>
      <c r="AH316" s="99">
        <f t="shared" si="224"/>
        <v>0.04953491360027493</v>
      </c>
    </row>
    <row r="317" spans="1:34" s="129" customFormat="1" ht="12" customHeight="1" hidden="1" outlineLevel="1">
      <c r="A317" s="98"/>
      <c r="B317" s="46"/>
      <c r="C317" s="120">
        <f>(Z303-C316)*1000</f>
        <v>-104229.99999999999</v>
      </c>
      <c r="D317" s="46"/>
      <c r="E317" s="81" t="s">
        <v>472</v>
      </c>
      <c r="F317" s="126"/>
      <c r="G317" s="81"/>
      <c r="H317" s="99"/>
      <c r="I317" s="261"/>
      <c r="J317" s="99"/>
      <c r="K317" s="99"/>
      <c r="L317" s="99"/>
      <c r="M317" s="99"/>
      <c r="N317" s="99"/>
      <c r="O317" s="99"/>
      <c r="P317" s="99"/>
      <c r="Q317" s="65">
        <f>Q304-H304</f>
        <v>0</v>
      </c>
      <c r="R317" s="65">
        <f aca="true" t="shared" si="225" ref="R317:Y317">R304-I304</f>
        <v>214.79999999999995</v>
      </c>
      <c r="S317" s="65">
        <f t="shared" si="225"/>
        <v>-17.823999999999955</v>
      </c>
      <c r="T317" s="65">
        <f t="shared" si="225"/>
        <v>-22.1</v>
      </c>
      <c r="U317" s="65">
        <f t="shared" si="225"/>
        <v>-6.440000000000012</v>
      </c>
      <c r="V317" s="65">
        <f t="shared" si="225"/>
        <v>-35</v>
      </c>
      <c r="W317" s="65">
        <f t="shared" si="225"/>
        <v>-291.13599999999997</v>
      </c>
      <c r="X317" s="65">
        <f t="shared" si="225"/>
        <v>29.700000000000003</v>
      </c>
      <c r="Y317" s="65">
        <f t="shared" si="225"/>
        <v>128</v>
      </c>
      <c r="Z317" s="65">
        <f>Z304-Q304</f>
        <v>-71</v>
      </c>
      <c r="AA317" s="65">
        <f aca="true" t="shared" si="226" ref="AA317:AH317">AA304-R304</f>
        <v>0</v>
      </c>
      <c r="AB317" s="65">
        <f t="shared" si="226"/>
        <v>0</v>
      </c>
      <c r="AC317" s="65">
        <f t="shared" si="226"/>
        <v>0</v>
      </c>
      <c r="AD317" s="65">
        <f t="shared" si="226"/>
        <v>-16.19999999999999</v>
      </c>
      <c r="AE317" s="65">
        <f t="shared" si="226"/>
        <v>0</v>
      </c>
      <c r="AF317" s="65">
        <f t="shared" si="226"/>
        <v>-54.8</v>
      </c>
      <c r="AG317" s="65">
        <f t="shared" si="226"/>
        <v>0</v>
      </c>
      <c r="AH317" s="65">
        <f t="shared" si="226"/>
        <v>0</v>
      </c>
    </row>
    <row r="318" spans="1:34" s="130" customFormat="1" ht="12" customHeight="1" hidden="1" outlineLevel="1">
      <c r="A318" s="10"/>
      <c r="B318" s="46"/>
      <c r="C318" s="46"/>
      <c r="D318" s="46"/>
      <c r="E318" s="43" t="s">
        <v>473</v>
      </c>
      <c r="F318" s="44"/>
      <c r="G318" s="43"/>
      <c r="H318" s="49"/>
      <c r="I318" s="262"/>
      <c r="J318" s="49"/>
      <c r="K318" s="49"/>
      <c r="L318" s="49"/>
      <c r="M318" s="49"/>
      <c r="N318" s="49"/>
      <c r="O318" s="49"/>
      <c r="P318" s="49"/>
      <c r="Q318" s="49"/>
      <c r="R318" s="49"/>
      <c r="S318" s="84"/>
      <c r="T318" s="49"/>
      <c r="U318" s="49"/>
      <c r="V318" s="49"/>
      <c r="W318" s="49"/>
      <c r="X318" s="49"/>
      <c r="Y318" s="49"/>
      <c r="Z318" s="90"/>
      <c r="AA318" s="90"/>
      <c r="AB318" s="90"/>
      <c r="AC318" s="90"/>
      <c r="AD318" s="90"/>
      <c r="AE318" s="90"/>
      <c r="AF318" s="90"/>
      <c r="AG318" s="90"/>
      <c r="AH318" s="90"/>
    </row>
    <row r="319" spans="1:133" s="56" customFormat="1" ht="12" customHeight="1" collapsed="1">
      <c r="A319" s="88">
        <v>39</v>
      </c>
      <c r="B319" s="114" t="s">
        <v>482</v>
      </c>
      <c r="C319" s="106" t="s">
        <v>527</v>
      </c>
      <c r="D319" s="106"/>
      <c r="E319" s="102"/>
      <c r="F319" s="115">
        <f aca="true" t="shared" si="227" ref="F319:AH319">SUM(F320:F324)</f>
        <v>316.5</v>
      </c>
      <c r="G319" s="115">
        <f t="shared" si="227"/>
        <v>118.2</v>
      </c>
      <c r="H319" s="111">
        <f t="shared" si="227"/>
        <v>1001.6999999999999</v>
      </c>
      <c r="I319" s="259">
        <f t="shared" si="227"/>
        <v>333</v>
      </c>
      <c r="J319" s="111">
        <f t="shared" si="227"/>
        <v>256</v>
      </c>
      <c r="K319" s="111">
        <f t="shared" si="227"/>
        <v>75</v>
      </c>
      <c r="L319" s="111">
        <f t="shared" si="227"/>
        <v>25</v>
      </c>
      <c r="M319" s="111">
        <f t="shared" si="227"/>
        <v>190</v>
      </c>
      <c r="N319" s="111">
        <f t="shared" si="227"/>
        <v>75</v>
      </c>
      <c r="O319" s="111">
        <f t="shared" si="227"/>
        <v>47.699999999999996</v>
      </c>
      <c r="P319" s="111">
        <f t="shared" si="227"/>
        <v>0</v>
      </c>
      <c r="Q319" s="111">
        <f t="shared" si="227"/>
        <v>659.925</v>
      </c>
      <c r="R319" s="111">
        <f t="shared" si="227"/>
        <v>221.5</v>
      </c>
      <c r="S319" s="111">
        <f t="shared" si="227"/>
        <v>187</v>
      </c>
      <c r="T319" s="111">
        <f t="shared" si="227"/>
        <v>75</v>
      </c>
      <c r="U319" s="111">
        <f t="shared" si="227"/>
        <v>25</v>
      </c>
      <c r="V319" s="111">
        <f t="shared" si="227"/>
        <v>65</v>
      </c>
      <c r="W319" s="111">
        <f t="shared" si="227"/>
        <v>55</v>
      </c>
      <c r="X319" s="111">
        <f t="shared" si="227"/>
        <v>31.425</v>
      </c>
      <c r="Y319" s="111">
        <f t="shared" si="227"/>
        <v>0</v>
      </c>
      <c r="Z319" s="111">
        <f t="shared" si="227"/>
        <v>659.925</v>
      </c>
      <c r="AA319" s="111">
        <f t="shared" si="227"/>
        <v>221.5</v>
      </c>
      <c r="AB319" s="111">
        <f t="shared" si="227"/>
        <v>187</v>
      </c>
      <c r="AC319" s="111">
        <f t="shared" si="227"/>
        <v>75</v>
      </c>
      <c r="AD319" s="111">
        <f t="shared" si="227"/>
        <v>25</v>
      </c>
      <c r="AE319" s="111">
        <f t="shared" si="227"/>
        <v>65</v>
      </c>
      <c r="AF319" s="111">
        <f t="shared" si="227"/>
        <v>55</v>
      </c>
      <c r="AG319" s="111">
        <f t="shared" si="227"/>
        <v>31.425</v>
      </c>
      <c r="AH319" s="111">
        <f t="shared" si="227"/>
        <v>0</v>
      </c>
      <c r="AI319" s="42"/>
      <c r="AJ319" s="41"/>
      <c r="AK319" s="42"/>
      <c r="AL319" s="41"/>
      <c r="AM319" s="41"/>
      <c r="AN319" s="41"/>
      <c r="AO319" s="42"/>
      <c r="AP319" s="58"/>
      <c r="AQ319" s="57"/>
      <c r="AR319" s="57"/>
      <c r="AS319" s="65"/>
      <c r="AT319" s="59"/>
      <c r="AU319" s="41"/>
      <c r="AV319" s="41"/>
      <c r="AW319" s="11"/>
      <c r="AX319" s="11"/>
      <c r="AY319" s="11"/>
      <c r="AZ319" s="11"/>
      <c r="BA319" s="11"/>
      <c r="BB319" s="11"/>
      <c r="BC319" s="11"/>
      <c r="BD319" s="11"/>
      <c r="BE319" s="60"/>
      <c r="BF319" s="59"/>
      <c r="BG319" s="58"/>
      <c r="BH319" s="59"/>
      <c r="BI319" s="57"/>
      <c r="BJ319" s="60"/>
      <c r="BK319" s="59"/>
      <c r="BL319" s="93"/>
      <c r="BM319" s="61"/>
      <c r="BN319" s="61"/>
      <c r="BO319" s="59"/>
      <c r="BP319" s="18"/>
      <c r="BQ319" s="39"/>
      <c r="BR319" s="12"/>
      <c r="BS319" s="12"/>
      <c r="BT319" s="32"/>
      <c r="BU319" s="14"/>
      <c r="BV319" s="28"/>
      <c r="BW319" s="28"/>
      <c r="BX319" s="14"/>
      <c r="BY319" s="29"/>
      <c r="BZ319" s="14"/>
      <c r="CA319" s="16"/>
      <c r="CB319" s="31"/>
      <c r="CC319" s="13"/>
      <c r="CD319" s="28"/>
      <c r="CE319" s="13"/>
      <c r="CF319" s="17"/>
      <c r="CG319" s="5"/>
      <c r="CH319" s="22"/>
      <c r="CI319" s="22"/>
      <c r="CJ319" s="22"/>
      <c r="CK319" s="22"/>
      <c r="CL319" s="22"/>
      <c r="CM319" s="22"/>
      <c r="CN319" s="14"/>
      <c r="CO319" s="22"/>
      <c r="CP319" s="22"/>
      <c r="CQ319" s="22"/>
      <c r="CR319" s="22"/>
      <c r="CS319" s="22"/>
      <c r="CT319" s="22"/>
      <c r="CU319" s="30"/>
      <c r="CV319" s="22"/>
      <c r="CW319" s="22"/>
      <c r="CX319" s="22"/>
      <c r="CY319" s="22"/>
      <c r="CZ319" s="22"/>
      <c r="DA319" s="22"/>
      <c r="DB319" s="22"/>
      <c r="DC319" s="35"/>
      <c r="DD319" s="37"/>
      <c r="DE319" s="22"/>
      <c r="DF319" s="5"/>
      <c r="DG319" s="36"/>
      <c r="DH319" s="22"/>
      <c r="DI319" s="14"/>
      <c r="DJ319" s="14"/>
      <c r="DK319" s="23"/>
      <c r="DL319" s="19"/>
      <c r="DM319" s="19"/>
      <c r="DN319" s="15"/>
      <c r="DO319" s="131"/>
      <c r="DQ319" s="74"/>
      <c r="DR319" s="94"/>
      <c r="DS319" s="132"/>
      <c r="DT319" s="75"/>
      <c r="DU319" s="94"/>
      <c r="DV319" s="133"/>
      <c r="DW319" s="94"/>
      <c r="DX319" s="62"/>
      <c r="DZ319" s="75"/>
      <c r="EC319" s="62"/>
    </row>
    <row r="320" spans="1:34" s="130" customFormat="1" ht="12" customHeight="1" hidden="1" outlineLevel="1">
      <c r="A320" s="10"/>
      <c r="B320" s="49"/>
      <c r="C320" s="107"/>
      <c r="D320" s="107"/>
      <c r="E320" s="81">
        <v>1</v>
      </c>
      <c r="F320" s="113">
        <v>60</v>
      </c>
      <c r="G320" s="116">
        <v>49.2</v>
      </c>
      <c r="H320" s="112">
        <f>SUM(I320:P320)</f>
        <v>94.5</v>
      </c>
      <c r="I320" s="263">
        <v>72</v>
      </c>
      <c r="J320" s="108">
        <v>18</v>
      </c>
      <c r="K320" s="108"/>
      <c r="L320" s="108"/>
      <c r="M320" s="108"/>
      <c r="N320" s="108"/>
      <c r="O320" s="109">
        <v>4.5</v>
      </c>
      <c r="P320" s="109"/>
      <c r="Q320" s="112">
        <f>SUM(R320:X320)</f>
        <v>85.05</v>
      </c>
      <c r="R320" s="52">
        <v>72</v>
      </c>
      <c r="S320" s="48">
        <v>9</v>
      </c>
      <c r="T320" s="48"/>
      <c r="U320" s="48"/>
      <c r="V320" s="48"/>
      <c r="W320" s="48"/>
      <c r="X320" s="83">
        <v>4.05</v>
      </c>
      <c r="Y320" s="83"/>
      <c r="Z320" s="80">
        <f>SUM(AA320:AH320)</f>
        <v>85.05</v>
      </c>
      <c r="AA320" s="108">
        <v>72</v>
      </c>
      <c r="AB320" s="108">
        <v>9</v>
      </c>
      <c r="AC320" s="108"/>
      <c r="AD320" s="108"/>
      <c r="AE320" s="108"/>
      <c r="AF320" s="108"/>
      <c r="AG320" s="109">
        <v>4.05</v>
      </c>
      <c r="AH320" s="109"/>
    </row>
    <row r="321" spans="1:34" s="130" customFormat="1" ht="12" customHeight="1" hidden="1" outlineLevel="1">
      <c r="A321" s="10"/>
      <c r="B321" s="49"/>
      <c r="C321" s="100"/>
      <c r="D321" s="100"/>
      <c r="E321" s="81">
        <v>2</v>
      </c>
      <c r="F321" s="113">
        <v>12.5</v>
      </c>
      <c r="G321" s="116">
        <v>12.5</v>
      </c>
      <c r="H321" s="112">
        <f>SUM(I321:P321)</f>
        <v>288.75</v>
      </c>
      <c r="I321" s="262"/>
      <c r="J321" s="108">
        <v>100</v>
      </c>
      <c r="K321" s="108">
        <v>75</v>
      </c>
      <c r="L321" s="108">
        <v>25</v>
      </c>
      <c r="M321" s="108"/>
      <c r="N321" s="108">
        <v>75</v>
      </c>
      <c r="O321" s="109">
        <v>13.75</v>
      </c>
      <c r="P321" s="109"/>
      <c r="Q321" s="112">
        <f>SUM(R321:X321)</f>
        <v>288.75</v>
      </c>
      <c r="R321" s="52"/>
      <c r="S321" s="48">
        <v>120</v>
      </c>
      <c r="T321" s="48">
        <v>75</v>
      </c>
      <c r="U321" s="48">
        <v>25</v>
      </c>
      <c r="V321" s="48"/>
      <c r="W321" s="48">
        <v>55</v>
      </c>
      <c r="X321" s="83">
        <v>13.75</v>
      </c>
      <c r="Y321" s="83"/>
      <c r="Z321" s="80">
        <f>SUM(AA321:AH321)</f>
        <v>288.75</v>
      </c>
      <c r="AA321" s="108"/>
      <c r="AB321" s="108">
        <v>120</v>
      </c>
      <c r="AC321" s="108">
        <v>75</v>
      </c>
      <c r="AD321" s="108">
        <v>25</v>
      </c>
      <c r="AE321" s="108"/>
      <c r="AF321" s="108">
        <v>55</v>
      </c>
      <c r="AG321" s="109">
        <v>13.75</v>
      </c>
      <c r="AH321" s="109"/>
    </row>
    <row r="322" spans="1:34" s="130" customFormat="1" ht="12" customHeight="1" hidden="1" outlineLevel="1">
      <c r="A322" s="10"/>
      <c r="B322" s="49"/>
      <c r="C322" s="120">
        <f>Z319*0.65</f>
        <v>428.95124999999996</v>
      </c>
      <c r="D322" s="120"/>
      <c r="E322" s="81">
        <v>3</v>
      </c>
      <c r="F322" s="113">
        <v>50</v>
      </c>
      <c r="G322" s="116">
        <v>34</v>
      </c>
      <c r="H322" s="112">
        <f>SUM(I322:P322)</f>
        <v>78.75</v>
      </c>
      <c r="I322" s="262">
        <v>45</v>
      </c>
      <c r="J322" s="108">
        <v>30</v>
      </c>
      <c r="K322" s="108"/>
      <c r="L322" s="108"/>
      <c r="M322" s="108"/>
      <c r="N322" s="108"/>
      <c r="O322" s="109">
        <v>3.75</v>
      </c>
      <c r="P322" s="109"/>
      <c r="Q322" s="112">
        <f>SUM(R322:X322)</f>
        <v>78.75</v>
      </c>
      <c r="R322" s="52">
        <v>55</v>
      </c>
      <c r="S322" s="48">
        <v>20</v>
      </c>
      <c r="T322" s="48"/>
      <c r="U322" s="48"/>
      <c r="V322" s="48"/>
      <c r="W322" s="48"/>
      <c r="X322" s="83">
        <v>3.75</v>
      </c>
      <c r="Y322" s="83"/>
      <c r="Z322" s="80">
        <f>SUM(AA322:AH322)</f>
        <v>78.75</v>
      </c>
      <c r="AA322" s="108">
        <v>55</v>
      </c>
      <c r="AB322" s="108">
        <v>20</v>
      </c>
      <c r="AC322" s="108"/>
      <c r="AD322" s="108"/>
      <c r="AE322" s="108"/>
      <c r="AF322" s="108"/>
      <c r="AG322" s="109">
        <v>3.75</v>
      </c>
      <c r="AH322" s="109"/>
    </row>
    <row r="323" spans="1:34" s="130" customFormat="1" ht="12" customHeight="1" hidden="1" outlineLevel="1">
      <c r="A323" s="10"/>
      <c r="B323" s="49"/>
      <c r="C323" s="120">
        <f>Z319-C322</f>
        <v>230.97375</v>
      </c>
      <c r="D323" s="120"/>
      <c r="E323" s="81">
        <v>4</v>
      </c>
      <c r="F323" s="113">
        <v>74</v>
      </c>
      <c r="G323" s="116">
        <v>17</v>
      </c>
      <c r="H323" s="112">
        <f>SUM(I323:P323)</f>
        <v>289.8</v>
      </c>
      <c r="I323" s="262">
        <v>108</v>
      </c>
      <c r="J323" s="108">
        <v>36</v>
      </c>
      <c r="K323" s="108"/>
      <c r="L323" s="108"/>
      <c r="M323" s="108">
        <v>132</v>
      </c>
      <c r="N323" s="108"/>
      <c r="O323" s="109">
        <v>13.8</v>
      </c>
      <c r="P323" s="109"/>
      <c r="Q323" s="112">
        <f>SUM(R323:X323)</f>
        <v>168</v>
      </c>
      <c r="R323" s="52">
        <v>75</v>
      </c>
      <c r="S323" s="48">
        <v>20</v>
      </c>
      <c r="T323" s="48"/>
      <c r="U323" s="48"/>
      <c r="V323" s="48">
        <v>65</v>
      </c>
      <c r="W323" s="48"/>
      <c r="X323" s="83">
        <v>8</v>
      </c>
      <c r="Y323" s="83"/>
      <c r="Z323" s="80">
        <f>SUM(AA323:AH323)</f>
        <v>168</v>
      </c>
      <c r="AA323" s="108">
        <v>75</v>
      </c>
      <c r="AB323" s="108">
        <v>20</v>
      </c>
      <c r="AC323" s="108"/>
      <c r="AD323" s="108"/>
      <c r="AE323" s="108">
        <v>65</v>
      </c>
      <c r="AF323" s="108"/>
      <c r="AG323" s="109">
        <v>8</v>
      </c>
      <c r="AH323" s="109"/>
    </row>
    <row r="324" spans="1:34" s="130" customFormat="1" ht="12" customHeight="1" hidden="1" outlineLevel="1">
      <c r="A324" s="10"/>
      <c r="B324" s="49"/>
      <c r="C324" s="120">
        <f>SUM(C322:C323)</f>
        <v>659.925</v>
      </c>
      <c r="D324" s="120"/>
      <c r="E324" s="81">
        <v>5</v>
      </c>
      <c r="F324" s="113">
        <v>120</v>
      </c>
      <c r="G324" s="116">
        <v>5.5</v>
      </c>
      <c r="H324" s="112">
        <f>SUM(I324:P324)</f>
        <v>249.9</v>
      </c>
      <c r="I324" s="262">
        <v>108</v>
      </c>
      <c r="J324" s="108">
        <v>72</v>
      </c>
      <c r="K324" s="108"/>
      <c r="L324" s="108"/>
      <c r="M324" s="108">
        <v>58</v>
      </c>
      <c r="N324" s="108"/>
      <c r="O324" s="109">
        <v>11.9</v>
      </c>
      <c r="P324" s="109"/>
      <c r="Q324" s="112">
        <f>SUM(R324:X324)</f>
        <v>39.375</v>
      </c>
      <c r="R324" s="52">
        <v>19.5</v>
      </c>
      <c r="S324" s="48">
        <v>18</v>
      </c>
      <c r="T324" s="48"/>
      <c r="U324" s="48"/>
      <c r="V324" s="48"/>
      <c r="W324" s="48"/>
      <c r="X324" s="83">
        <v>1.875</v>
      </c>
      <c r="Y324" s="83"/>
      <c r="Z324" s="80">
        <f>SUM(AA324:AH324)</f>
        <v>39.375</v>
      </c>
      <c r="AA324" s="108">
        <v>19.5</v>
      </c>
      <c r="AB324" s="108">
        <v>18</v>
      </c>
      <c r="AC324" s="108"/>
      <c r="AD324" s="108"/>
      <c r="AE324" s="108"/>
      <c r="AF324" s="108"/>
      <c r="AG324" s="109">
        <v>1.875</v>
      </c>
      <c r="AH324" s="109"/>
    </row>
    <row r="325" spans="1:34" s="129" customFormat="1" ht="12" customHeight="1" hidden="1" outlineLevel="1">
      <c r="A325" s="98"/>
      <c r="B325" s="46"/>
      <c r="C325" s="46"/>
      <c r="D325" s="46"/>
      <c r="E325" s="81" t="s">
        <v>471</v>
      </c>
      <c r="F325" s="126"/>
      <c r="G325" s="81"/>
      <c r="H325" s="99">
        <f>H319/$H$319</f>
        <v>1</v>
      </c>
      <c r="I325" s="261">
        <f aca="true" t="shared" si="228" ref="I325:P325">I319/$H$319</f>
        <v>0.33243486073674755</v>
      </c>
      <c r="J325" s="99">
        <f t="shared" si="228"/>
        <v>0.2555655385844065</v>
      </c>
      <c r="K325" s="99">
        <f t="shared" si="228"/>
        <v>0.07487271638215034</v>
      </c>
      <c r="L325" s="99">
        <f t="shared" si="228"/>
        <v>0.02495757212738345</v>
      </c>
      <c r="M325" s="99">
        <f t="shared" si="228"/>
        <v>0.18967754816811422</v>
      </c>
      <c r="N325" s="99">
        <f t="shared" si="228"/>
        <v>0.07487271638215034</v>
      </c>
      <c r="O325" s="99">
        <f t="shared" si="228"/>
        <v>0.047619047619047616</v>
      </c>
      <c r="P325" s="99">
        <f t="shared" si="228"/>
        <v>0</v>
      </c>
      <c r="Q325" s="99">
        <f>Q319/$Q$319</f>
        <v>1</v>
      </c>
      <c r="R325" s="99">
        <f aca="true" t="shared" si="229" ref="R325:Y325">R319/$Q$319</f>
        <v>0.3356442019926507</v>
      </c>
      <c r="S325" s="99">
        <f t="shared" si="229"/>
        <v>0.2833655339621927</v>
      </c>
      <c r="T325" s="99">
        <f t="shared" si="229"/>
        <v>0.11364927832708263</v>
      </c>
      <c r="U325" s="99">
        <f t="shared" si="229"/>
        <v>0.03788309277569421</v>
      </c>
      <c r="V325" s="99">
        <f t="shared" si="229"/>
        <v>0.09849604121680494</v>
      </c>
      <c r="W325" s="99">
        <f t="shared" si="229"/>
        <v>0.08334280410652727</v>
      </c>
      <c r="X325" s="99">
        <f t="shared" si="229"/>
        <v>0.04761904761904762</v>
      </c>
      <c r="Y325" s="99">
        <f t="shared" si="229"/>
        <v>0</v>
      </c>
      <c r="Z325" s="99">
        <f>Z319/$Z$319</f>
        <v>1</v>
      </c>
      <c r="AA325" s="99">
        <f aca="true" t="shared" si="230" ref="AA325:AH325">AA319/$Z$319</f>
        <v>0.3356442019926507</v>
      </c>
      <c r="AB325" s="99">
        <f t="shared" si="230"/>
        <v>0.2833655339621927</v>
      </c>
      <c r="AC325" s="99">
        <f t="shared" si="230"/>
        <v>0.11364927832708263</v>
      </c>
      <c r="AD325" s="99">
        <f t="shared" si="230"/>
        <v>0.03788309277569421</v>
      </c>
      <c r="AE325" s="99">
        <f t="shared" si="230"/>
        <v>0.09849604121680494</v>
      </c>
      <c r="AF325" s="99">
        <f t="shared" si="230"/>
        <v>0.08334280410652727</v>
      </c>
      <c r="AG325" s="99">
        <f t="shared" si="230"/>
        <v>0.04761904761904762</v>
      </c>
      <c r="AH325" s="99">
        <f t="shared" si="230"/>
        <v>0</v>
      </c>
    </row>
    <row r="326" spans="1:34" s="129" customFormat="1" ht="12" customHeight="1" hidden="1" outlineLevel="1">
      <c r="A326" s="98"/>
      <c r="B326" s="46"/>
      <c r="C326" s="46"/>
      <c r="D326" s="46"/>
      <c r="E326" s="81" t="s">
        <v>472</v>
      </c>
      <c r="F326" s="126"/>
      <c r="G326" s="81"/>
      <c r="H326" s="99"/>
      <c r="I326" s="261"/>
      <c r="J326" s="99"/>
      <c r="K326" s="99"/>
      <c r="L326" s="99"/>
      <c r="M326" s="99"/>
      <c r="N326" s="99"/>
      <c r="O326" s="99"/>
      <c r="P326" s="99"/>
      <c r="Q326" s="65">
        <f aca="true" t="shared" si="231" ref="Q326:AH326">Q319-H319</f>
        <v>-341.775</v>
      </c>
      <c r="R326" s="65">
        <f t="shared" si="231"/>
        <v>-111.5</v>
      </c>
      <c r="S326" s="65">
        <f t="shared" si="231"/>
        <v>-69</v>
      </c>
      <c r="T326" s="65">
        <f t="shared" si="231"/>
        <v>0</v>
      </c>
      <c r="U326" s="65">
        <f t="shared" si="231"/>
        <v>0</v>
      </c>
      <c r="V326" s="65">
        <f t="shared" si="231"/>
        <v>-125</v>
      </c>
      <c r="W326" s="65">
        <f t="shared" si="231"/>
        <v>-20</v>
      </c>
      <c r="X326" s="65">
        <f t="shared" si="231"/>
        <v>-16.274999999999995</v>
      </c>
      <c r="Y326" s="65">
        <f t="shared" si="231"/>
        <v>0</v>
      </c>
      <c r="Z326" s="65">
        <f t="shared" si="231"/>
        <v>0</v>
      </c>
      <c r="AA326" s="65">
        <f t="shared" si="231"/>
        <v>0</v>
      </c>
      <c r="AB326" s="65">
        <f t="shared" si="231"/>
        <v>0</v>
      </c>
      <c r="AC326" s="65">
        <f t="shared" si="231"/>
        <v>0</v>
      </c>
      <c r="AD326" s="65">
        <f t="shared" si="231"/>
        <v>0</v>
      </c>
      <c r="AE326" s="65">
        <f t="shared" si="231"/>
        <v>0</v>
      </c>
      <c r="AF326" s="65">
        <f t="shared" si="231"/>
        <v>0</v>
      </c>
      <c r="AG326" s="65">
        <f t="shared" si="231"/>
        <v>0</v>
      </c>
      <c r="AH326" s="65">
        <f t="shared" si="231"/>
        <v>0</v>
      </c>
    </row>
    <row r="327" spans="1:34" s="130" customFormat="1" ht="12" customHeight="1" hidden="1" outlineLevel="1">
      <c r="A327" s="10"/>
      <c r="B327" s="46"/>
      <c r="C327" s="46"/>
      <c r="D327" s="46"/>
      <c r="E327" s="43" t="s">
        <v>473</v>
      </c>
      <c r="F327" s="44"/>
      <c r="G327" s="43"/>
      <c r="H327" s="154"/>
      <c r="I327" s="262"/>
      <c r="J327" s="154"/>
      <c r="K327" s="154"/>
      <c r="L327" s="154"/>
      <c r="M327" s="154"/>
      <c r="N327" s="154"/>
      <c r="O327" s="154"/>
      <c r="P327" s="154"/>
      <c r="Q327" s="154"/>
      <c r="R327" s="49"/>
      <c r="S327" s="84"/>
      <c r="T327" s="49"/>
      <c r="U327" s="49"/>
      <c r="V327" s="49"/>
      <c r="W327" s="49"/>
      <c r="X327" s="49"/>
      <c r="Y327" s="49"/>
      <c r="Z327" s="90"/>
      <c r="AA327" s="90"/>
      <c r="AB327" s="90"/>
      <c r="AC327" s="90"/>
      <c r="AD327" s="90"/>
      <c r="AE327" s="90"/>
      <c r="AF327" s="90"/>
      <c r="AG327" s="90"/>
      <c r="AH327" s="90"/>
    </row>
    <row r="328" spans="1:61" s="130" customFormat="1" ht="12" customHeight="1" collapsed="1">
      <c r="A328" s="117">
        <v>41</v>
      </c>
      <c r="B328" s="118" t="s">
        <v>482</v>
      </c>
      <c r="C328" s="118" t="s">
        <v>651</v>
      </c>
      <c r="D328" s="118"/>
      <c r="E328" s="119"/>
      <c r="F328" s="125">
        <f>SUM(F329:F335)</f>
        <v>195.05</v>
      </c>
      <c r="G328" s="125">
        <f>SUM(G329:G335)</f>
        <v>0</v>
      </c>
      <c r="H328" s="111">
        <f>SUM(I328:P328)</f>
        <v>1500</v>
      </c>
      <c r="I328" s="264">
        <f>SUM(I329:I335)</f>
        <v>915</v>
      </c>
      <c r="J328" s="150">
        <f aca="true" t="shared" si="232" ref="J328:P328">SUM(J329:J335)</f>
        <v>280</v>
      </c>
      <c r="K328" s="150">
        <f t="shared" si="232"/>
        <v>100</v>
      </c>
      <c r="L328" s="150">
        <f t="shared" si="232"/>
        <v>30</v>
      </c>
      <c r="M328" s="150">
        <f t="shared" si="232"/>
        <v>50</v>
      </c>
      <c r="N328" s="150">
        <f t="shared" si="232"/>
        <v>50</v>
      </c>
      <c r="O328" s="150">
        <f t="shared" si="232"/>
        <v>75</v>
      </c>
      <c r="P328" s="150">
        <f t="shared" si="232"/>
        <v>0</v>
      </c>
      <c r="Q328" s="111">
        <f aca="true" t="shared" si="233" ref="Q328:AH328">SUM(Q329:Q335)</f>
        <v>1500</v>
      </c>
      <c r="R328" s="111">
        <f t="shared" si="233"/>
        <v>915</v>
      </c>
      <c r="S328" s="111">
        <f t="shared" si="233"/>
        <v>280</v>
      </c>
      <c r="T328" s="111">
        <f t="shared" si="233"/>
        <v>100</v>
      </c>
      <c r="U328" s="111">
        <f t="shared" si="233"/>
        <v>30</v>
      </c>
      <c r="V328" s="111">
        <f t="shared" si="233"/>
        <v>50</v>
      </c>
      <c r="W328" s="111">
        <f t="shared" si="233"/>
        <v>50</v>
      </c>
      <c r="X328" s="111">
        <f t="shared" si="233"/>
        <v>75</v>
      </c>
      <c r="Y328" s="111">
        <f t="shared" si="233"/>
        <v>0</v>
      </c>
      <c r="Z328" s="111">
        <f t="shared" si="233"/>
        <v>1500</v>
      </c>
      <c r="AA328" s="111">
        <f t="shared" si="233"/>
        <v>915</v>
      </c>
      <c r="AB328" s="111">
        <f t="shared" si="233"/>
        <v>280</v>
      </c>
      <c r="AC328" s="111">
        <f t="shared" si="233"/>
        <v>100</v>
      </c>
      <c r="AD328" s="111">
        <f t="shared" si="233"/>
        <v>30</v>
      </c>
      <c r="AE328" s="111">
        <f t="shared" si="233"/>
        <v>50</v>
      </c>
      <c r="AF328" s="111">
        <f t="shared" si="233"/>
        <v>50</v>
      </c>
      <c r="AG328" s="111">
        <f t="shared" si="233"/>
        <v>75</v>
      </c>
      <c r="AH328" s="111">
        <f t="shared" si="233"/>
        <v>0</v>
      </c>
      <c r="AI328" s="111">
        <f aca="true" t="shared" si="234" ref="AI328:AQ328">SUM(AI329:AI335)</f>
        <v>1499.998</v>
      </c>
      <c r="AJ328" s="111">
        <f t="shared" si="234"/>
        <v>1104.518</v>
      </c>
      <c r="AK328" s="111">
        <f t="shared" si="234"/>
        <v>72.921</v>
      </c>
      <c r="AL328" s="111">
        <f t="shared" si="234"/>
        <v>112.511</v>
      </c>
      <c r="AM328" s="111">
        <f t="shared" si="234"/>
        <v>45.62799999999999</v>
      </c>
      <c r="AN328" s="111">
        <f t="shared" si="234"/>
        <v>37.019</v>
      </c>
      <c r="AO328" s="111">
        <f t="shared" si="234"/>
        <v>52.401</v>
      </c>
      <c r="AP328" s="111">
        <f t="shared" si="234"/>
        <v>75</v>
      </c>
      <c r="AQ328" s="111">
        <f t="shared" si="234"/>
        <v>0</v>
      </c>
      <c r="AR328" s="111">
        <f>SUM(AR329:AR335)</f>
        <v>1499.998</v>
      </c>
      <c r="AS328" s="111">
        <f aca="true" t="shared" si="235" ref="AS328:BI328">SUM(AS329:AS335)</f>
        <v>1104.518</v>
      </c>
      <c r="AT328" s="111">
        <f t="shared" si="235"/>
        <v>72.921</v>
      </c>
      <c r="AU328" s="111">
        <f t="shared" si="235"/>
        <v>112.511</v>
      </c>
      <c r="AV328" s="111">
        <f t="shared" si="235"/>
        <v>45.62799999999999</v>
      </c>
      <c r="AW328" s="111">
        <f t="shared" si="235"/>
        <v>37.019</v>
      </c>
      <c r="AX328" s="111">
        <f t="shared" si="235"/>
        <v>52.401</v>
      </c>
      <c r="AY328" s="111">
        <f t="shared" si="235"/>
        <v>75</v>
      </c>
      <c r="AZ328" s="111">
        <f t="shared" si="235"/>
        <v>0</v>
      </c>
      <c r="BA328" s="111">
        <f>SUM(BB328:BI328)</f>
        <v>1499.998</v>
      </c>
      <c r="BB328" s="111">
        <v>1062.151</v>
      </c>
      <c r="BC328" s="111">
        <v>115.287</v>
      </c>
      <c r="BD328" s="111">
        <v>112.511</v>
      </c>
      <c r="BE328" s="111">
        <v>45.629</v>
      </c>
      <c r="BF328" s="111">
        <v>37.019</v>
      </c>
      <c r="BG328" s="111">
        <v>52.401</v>
      </c>
      <c r="BH328" s="111">
        <v>75</v>
      </c>
      <c r="BI328" s="111">
        <f t="shared" si="235"/>
        <v>0</v>
      </c>
    </row>
    <row r="329" spans="1:52" s="130" customFormat="1" ht="12" customHeight="1" hidden="1" outlineLevel="1">
      <c r="A329" s="10"/>
      <c r="B329" s="46"/>
      <c r="C329" s="145"/>
      <c r="D329" s="46"/>
      <c r="E329" s="121">
        <v>1</v>
      </c>
      <c r="F329" s="148">
        <v>9.9</v>
      </c>
      <c r="G329" s="155"/>
      <c r="H329" s="156">
        <f>SUM(I329:P329)</f>
        <v>75</v>
      </c>
      <c r="I329" s="263">
        <v>71.25</v>
      </c>
      <c r="J329" s="108"/>
      <c r="K329" s="108"/>
      <c r="L329" s="108"/>
      <c r="M329" s="108"/>
      <c r="N329" s="108"/>
      <c r="O329" s="109">
        <v>3.75</v>
      </c>
      <c r="P329" s="109"/>
      <c r="Q329" s="112">
        <f>SUM(R329:Y329)</f>
        <v>75</v>
      </c>
      <c r="R329" s="159">
        <v>71.25</v>
      </c>
      <c r="S329" s="159"/>
      <c r="T329" s="159"/>
      <c r="U329" s="159"/>
      <c r="V329" s="159"/>
      <c r="W329" s="159"/>
      <c r="X329" s="159">
        <v>3.75</v>
      </c>
      <c r="Y329" s="109"/>
      <c r="Z329" s="179">
        <f>SUM(AA329:AH329)</f>
        <v>75</v>
      </c>
      <c r="AA329" s="159">
        <v>71.25</v>
      </c>
      <c r="AB329" s="159"/>
      <c r="AC329" s="159"/>
      <c r="AD329" s="159"/>
      <c r="AE329" s="159"/>
      <c r="AF329" s="159"/>
      <c r="AG329" s="159">
        <v>3.75</v>
      </c>
      <c r="AH329" s="109"/>
      <c r="AI329" s="179">
        <f>SUM(AJ329:AQ329)</f>
        <v>75</v>
      </c>
      <c r="AJ329" s="159">
        <v>71.25</v>
      </c>
      <c r="AK329" s="159"/>
      <c r="AL329" s="159"/>
      <c r="AM329" s="159"/>
      <c r="AN329" s="159"/>
      <c r="AO329" s="159"/>
      <c r="AP329" s="159">
        <v>3.75</v>
      </c>
      <c r="AQ329" s="109"/>
      <c r="AR329" s="179">
        <f>SUM(AS329:AZ329)</f>
        <v>75</v>
      </c>
      <c r="AS329" s="159">
        <v>71.25</v>
      </c>
      <c r="AT329" s="159"/>
      <c r="AU329" s="159"/>
      <c r="AV329" s="159"/>
      <c r="AW329" s="159"/>
      <c r="AX329" s="159"/>
      <c r="AY329" s="159">
        <v>3.75</v>
      </c>
      <c r="AZ329" s="109"/>
    </row>
    <row r="330" spans="1:52" s="130" customFormat="1" ht="12" customHeight="1" hidden="1" outlineLevel="1">
      <c r="A330" s="10"/>
      <c r="B330" s="46"/>
      <c r="C330" s="145">
        <f>Z328*0.5</f>
        <v>750</v>
      </c>
      <c r="D330" s="46"/>
      <c r="E330" s="81">
        <v>2</v>
      </c>
      <c r="F330" s="148">
        <v>6.36</v>
      </c>
      <c r="G330" s="155"/>
      <c r="H330" s="156">
        <f aca="true" t="shared" si="236" ref="H330:H335">SUM(I330:P330)</f>
        <v>37</v>
      </c>
      <c r="I330" s="263">
        <v>35.15</v>
      </c>
      <c r="J330" s="108"/>
      <c r="K330" s="108"/>
      <c r="L330" s="108"/>
      <c r="M330" s="108"/>
      <c r="N330" s="108"/>
      <c r="O330" s="109">
        <v>1.85</v>
      </c>
      <c r="P330" s="109"/>
      <c r="Q330" s="112">
        <f aca="true" t="shared" si="237" ref="Q330:Q335">SUM(R330:Y330)</f>
        <v>37</v>
      </c>
      <c r="R330" s="159">
        <v>35.15</v>
      </c>
      <c r="S330" s="159"/>
      <c r="T330" s="159"/>
      <c r="U330" s="159"/>
      <c r="V330" s="159"/>
      <c r="W330" s="159"/>
      <c r="X330" s="159">
        <v>1.85</v>
      </c>
      <c r="Y330" s="109"/>
      <c r="Z330" s="179">
        <f aca="true" t="shared" si="238" ref="Z330:Z335">SUM(AA330:AH330)</f>
        <v>37</v>
      </c>
      <c r="AA330" s="159">
        <v>35.15</v>
      </c>
      <c r="AB330" s="159"/>
      <c r="AC330" s="159"/>
      <c r="AD330" s="159"/>
      <c r="AE330" s="159"/>
      <c r="AF330" s="159"/>
      <c r="AG330" s="159">
        <v>1.85</v>
      </c>
      <c r="AH330" s="109"/>
      <c r="AI330" s="179">
        <f aca="true" t="shared" si="239" ref="AI330:AI335">SUM(AJ330:AQ330)</f>
        <v>37</v>
      </c>
      <c r="AJ330" s="159">
        <v>35.15</v>
      </c>
      <c r="AK330" s="159"/>
      <c r="AL330" s="159"/>
      <c r="AM330" s="159"/>
      <c r="AN330" s="159"/>
      <c r="AO330" s="159"/>
      <c r="AP330" s="159">
        <v>1.85</v>
      </c>
      <c r="AQ330" s="109"/>
      <c r="AR330" s="179">
        <f aca="true" t="shared" si="240" ref="AR330:AR335">SUM(AS330:AZ330)</f>
        <v>37</v>
      </c>
      <c r="AS330" s="159">
        <v>35.15</v>
      </c>
      <c r="AT330" s="159"/>
      <c r="AU330" s="159"/>
      <c r="AV330" s="159"/>
      <c r="AW330" s="159"/>
      <c r="AX330" s="159"/>
      <c r="AY330" s="159">
        <v>1.85</v>
      </c>
      <c r="AZ330" s="109"/>
    </row>
    <row r="331" spans="1:52" s="130" customFormat="1" ht="12" customHeight="1" hidden="1" outlineLevel="1">
      <c r="A331" s="10"/>
      <c r="B331" s="46"/>
      <c r="C331" s="139">
        <f>Z328-C330</f>
        <v>750</v>
      </c>
      <c r="D331" s="96"/>
      <c r="E331" s="121">
        <v>3</v>
      </c>
      <c r="F331" s="148">
        <v>12.53</v>
      </c>
      <c r="G331" s="155"/>
      <c r="H331" s="156">
        <f t="shared" si="236"/>
        <v>103</v>
      </c>
      <c r="I331" s="263">
        <v>97.85</v>
      </c>
      <c r="J331" s="108"/>
      <c r="K331" s="108"/>
      <c r="L331" s="108"/>
      <c r="M331" s="108"/>
      <c r="N331" s="108"/>
      <c r="O331" s="109">
        <v>5.15</v>
      </c>
      <c r="P331" s="109"/>
      <c r="Q331" s="112">
        <f t="shared" si="237"/>
        <v>103</v>
      </c>
      <c r="R331" s="159">
        <v>97.85</v>
      </c>
      <c r="S331" s="159"/>
      <c r="T331" s="159"/>
      <c r="U331" s="159"/>
      <c r="V331" s="159"/>
      <c r="W331" s="159"/>
      <c r="X331" s="159">
        <v>5.15</v>
      </c>
      <c r="Y331" s="109"/>
      <c r="Z331" s="179">
        <f t="shared" si="238"/>
        <v>103</v>
      </c>
      <c r="AA331" s="159">
        <v>97.85</v>
      </c>
      <c r="AB331" s="159"/>
      <c r="AC331" s="159"/>
      <c r="AD331" s="159"/>
      <c r="AE331" s="159"/>
      <c r="AF331" s="159"/>
      <c r="AG331" s="159">
        <v>5.15</v>
      </c>
      <c r="AH331" s="109"/>
      <c r="AI331" s="179">
        <f t="shared" si="239"/>
        <v>103</v>
      </c>
      <c r="AJ331" s="159">
        <v>97.85</v>
      </c>
      <c r="AK331" s="159"/>
      <c r="AL331" s="159"/>
      <c r="AM331" s="159"/>
      <c r="AN331" s="159"/>
      <c r="AO331" s="159"/>
      <c r="AP331" s="159">
        <v>5.15</v>
      </c>
      <c r="AQ331" s="109"/>
      <c r="AR331" s="179">
        <f t="shared" si="240"/>
        <v>103</v>
      </c>
      <c r="AS331" s="159">
        <v>97.85</v>
      </c>
      <c r="AT331" s="159"/>
      <c r="AU331" s="159"/>
      <c r="AV331" s="159"/>
      <c r="AW331" s="159"/>
      <c r="AX331" s="159"/>
      <c r="AY331" s="159">
        <v>5.15</v>
      </c>
      <c r="AZ331" s="109"/>
    </row>
    <row r="332" spans="1:52" s="130" customFormat="1" ht="12" customHeight="1" hidden="1" outlineLevel="1">
      <c r="A332" s="10"/>
      <c r="B332" s="46"/>
      <c r="C332" s="139"/>
      <c r="D332" s="46"/>
      <c r="E332" s="121">
        <v>4</v>
      </c>
      <c r="F332" s="148">
        <v>15.46</v>
      </c>
      <c r="G332" s="155"/>
      <c r="H332" s="156">
        <f t="shared" si="236"/>
        <v>100</v>
      </c>
      <c r="I332" s="263">
        <v>35</v>
      </c>
      <c r="J332" s="108"/>
      <c r="K332" s="108"/>
      <c r="L332" s="108">
        <v>10</v>
      </c>
      <c r="M332" s="108"/>
      <c r="N332" s="108">
        <v>50</v>
      </c>
      <c r="O332" s="109">
        <v>5</v>
      </c>
      <c r="P332" s="109"/>
      <c r="Q332" s="112">
        <f t="shared" si="237"/>
        <v>100</v>
      </c>
      <c r="R332" s="159">
        <v>35</v>
      </c>
      <c r="S332" s="159"/>
      <c r="T332" s="159"/>
      <c r="U332" s="159">
        <v>10</v>
      </c>
      <c r="V332" s="159"/>
      <c r="W332" s="159">
        <v>50</v>
      </c>
      <c r="X332" s="159">
        <v>5</v>
      </c>
      <c r="Y332" s="109"/>
      <c r="Z332" s="179">
        <f t="shared" si="238"/>
        <v>100</v>
      </c>
      <c r="AA332" s="159">
        <v>35</v>
      </c>
      <c r="AB332" s="159"/>
      <c r="AC332" s="159"/>
      <c r="AD332" s="159">
        <v>10</v>
      </c>
      <c r="AE332" s="159"/>
      <c r="AF332" s="159">
        <v>50</v>
      </c>
      <c r="AG332" s="159">
        <v>5</v>
      </c>
      <c r="AH332" s="109"/>
      <c r="AI332" s="179">
        <f t="shared" si="239"/>
        <v>100</v>
      </c>
      <c r="AJ332" s="159">
        <v>30.935</v>
      </c>
      <c r="AK332" s="159"/>
      <c r="AL332" s="159"/>
      <c r="AM332" s="159">
        <v>11.664</v>
      </c>
      <c r="AN332" s="159"/>
      <c r="AO332" s="159">
        <v>52.401</v>
      </c>
      <c r="AP332" s="159">
        <v>5</v>
      </c>
      <c r="AQ332" s="109"/>
      <c r="AR332" s="179">
        <f t="shared" si="240"/>
        <v>100</v>
      </c>
      <c r="AS332" s="159">
        <v>30.935</v>
      </c>
      <c r="AT332" s="159"/>
      <c r="AU332" s="159"/>
      <c r="AV332" s="159">
        <v>11.664</v>
      </c>
      <c r="AW332" s="159"/>
      <c r="AX332" s="159">
        <v>52.401</v>
      </c>
      <c r="AY332" s="159">
        <v>5</v>
      </c>
      <c r="AZ332" s="109"/>
    </row>
    <row r="333" spans="1:52" s="130" customFormat="1" ht="12" customHeight="1" hidden="1" outlineLevel="1">
      <c r="A333" s="10"/>
      <c r="B333" s="46"/>
      <c r="C333" s="120"/>
      <c r="D333" s="46"/>
      <c r="E333" s="121">
        <v>5</v>
      </c>
      <c r="F333" s="148">
        <v>49.01</v>
      </c>
      <c r="G333" s="155"/>
      <c r="H333" s="156">
        <f t="shared" si="236"/>
        <v>372.5</v>
      </c>
      <c r="I333" s="263">
        <v>218.875</v>
      </c>
      <c r="J333" s="108">
        <v>100</v>
      </c>
      <c r="K333" s="108"/>
      <c r="L333" s="108">
        <v>10</v>
      </c>
      <c r="M333" s="108">
        <v>25</v>
      </c>
      <c r="N333" s="108"/>
      <c r="O333" s="109">
        <v>18.625</v>
      </c>
      <c r="P333" s="109"/>
      <c r="Q333" s="112">
        <f t="shared" si="237"/>
        <v>372.5</v>
      </c>
      <c r="R333" s="159">
        <v>218.875</v>
      </c>
      <c r="S333" s="159">
        <v>100</v>
      </c>
      <c r="T333" s="159"/>
      <c r="U333" s="159">
        <v>10</v>
      </c>
      <c r="V333" s="159">
        <v>25</v>
      </c>
      <c r="W333" s="159"/>
      <c r="X333" s="159">
        <v>18.625</v>
      </c>
      <c r="Y333" s="109"/>
      <c r="Z333" s="179">
        <f t="shared" si="238"/>
        <v>372.5</v>
      </c>
      <c r="AA333" s="159">
        <v>218.875</v>
      </c>
      <c r="AB333" s="159">
        <v>100</v>
      </c>
      <c r="AC333" s="159"/>
      <c r="AD333" s="159">
        <v>10</v>
      </c>
      <c r="AE333" s="159">
        <v>25</v>
      </c>
      <c r="AF333" s="159"/>
      <c r="AG333" s="159">
        <v>18.625</v>
      </c>
      <c r="AH333" s="109"/>
      <c r="AI333" s="179">
        <f t="shared" si="239"/>
        <v>372.5</v>
      </c>
      <c r="AJ333" s="159">
        <v>324.156</v>
      </c>
      <c r="AK333" s="159"/>
      <c r="AL333" s="159"/>
      <c r="AM333" s="159">
        <v>12.063</v>
      </c>
      <c r="AN333" s="159">
        <v>17.656</v>
      </c>
      <c r="AO333" s="159"/>
      <c r="AP333" s="159">
        <v>18.625</v>
      </c>
      <c r="AQ333" s="109"/>
      <c r="AR333" s="179">
        <f t="shared" si="240"/>
        <v>372.5</v>
      </c>
      <c r="AS333" s="159">
        <v>324.156</v>
      </c>
      <c r="AT333" s="159"/>
      <c r="AU333" s="159"/>
      <c r="AV333" s="159">
        <v>12.063</v>
      </c>
      <c r="AW333" s="159">
        <v>17.656</v>
      </c>
      <c r="AX333" s="159"/>
      <c r="AY333" s="159">
        <v>18.625</v>
      </c>
      <c r="AZ333" s="109"/>
    </row>
    <row r="334" spans="1:52" s="130" customFormat="1" ht="12" customHeight="1" hidden="1" outlineLevel="1">
      <c r="A334" s="10"/>
      <c r="B334" s="46"/>
      <c r="C334" s="120" t="s">
        <v>652</v>
      </c>
      <c r="D334" s="46"/>
      <c r="E334" s="81">
        <v>6</v>
      </c>
      <c r="F334" s="148">
        <v>43.9</v>
      </c>
      <c r="G334" s="155"/>
      <c r="H334" s="156">
        <f t="shared" si="236"/>
        <v>347.5</v>
      </c>
      <c r="I334" s="263">
        <v>160.125</v>
      </c>
      <c r="J334" s="108">
        <v>105</v>
      </c>
      <c r="K334" s="108">
        <v>50</v>
      </c>
      <c r="L334" s="108">
        <v>5</v>
      </c>
      <c r="M334" s="108">
        <v>10</v>
      </c>
      <c r="N334" s="108"/>
      <c r="O334" s="109">
        <v>17.375</v>
      </c>
      <c r="P334" s="109"/>
      <c r="Q334" s="112">
        <f t="shared" si="237"/>
        <v>347.5</v>
      </c>
      <c r="R334" s="159">
        <v>160.125</v>
      </c>
      <c r="S334" s="159">
        <v>105</v>
      </c>
      <c r="T334" s="159">
        <v>50</v>
      </c>
      <c r="U334" s="159">
        <v>5</v>
      </c>
      <c r="V334" s="159">
        <v>10</v>
      </c>
      <c r="W334" s="159"/>
      <c r="X334" s="159">
        <v>17.375</v>
      </c>
      <c r="Y334" s="109"/>
      <c r="Z334" s="179">
        <f t="shared" si="238"/>
        <v>347.5</v>
      </c>
      <c r="AA334" s="159">
        <v>160.125</v>
      </c>
      <c r="AB334" s="159">
        <v>105</v>
      </c>
      <c r="AC334" s="159">
        <v>50</v>
      </c>
      <c r="AD334" s="159">
        <v>5</v>
      </c>
      <c r="AE334" s="159">
        <v>10</v>
      </c>
      <c r="AF334" s="159"/>
      <c r="AG334" s="159">
        <v>17.375</v>
      </c>
      <c r="AH334" s="109"/>
      <c r="AI334" s="179">
        <f t="shared" si="239"/>
        <v>347.499</v>
      </c>
      <c r="AJ334" s="159">
        <v>244.408</v>
      </c>
      <c r="AK334" s="159"/>
      <c r="AL334" s="159">
        <v>63.897</v>
      </c>
      <c r="AM334" s="159">
        <v>17.04</v>
      </c>
      <c r="AN334" s="159">
        <v>4.779</v>
      </c>
      <c r="AO334" s="159"/>
      <c r="AP334" s="159">
        <v>17.375</v>
      </c>
      <c r="AQ334" s="109"/>
      <c r="AR334" s="179">
        <f t="shared" si="240"/>
        <v>347.499</v>
      </c>
      <c r="AS334" s="159">
        <v>244.408</v>
      </c>
      <c r="AT334" s="159"/>
      <c r="AU334" s="159">
        <v>63.897</v>
      </c>
      <c r="AV334" s="159">
        <v>17.04</v>
      </c>
      <c r="AW334" s="159">
        <v>4.779</v>
      </c>
      <c r="AX334" s="159"/>
      <c r="AY334" s="159">
        <v>17.375</v>
      </c>
      <c r="AZ334" s="109"/>
    </row>
    <row r="335" spans="1:52" s="130" customFormat="1" ht="12" customHeight="1" hidden="1" outlineLevel="1">
      <c r="A335" s="10"/>
      <c r="B335" s="46"/>
      <c r="C335" s="46"/>
      <c r="D335" s="46"/>
      <c r="E335" s="121">
        <v>7</v>
      </c>
      <c r="F335" s="148">
        <v>57.89</v>
      </c>
      <c r="G335" s="155"/>
      <c r="H335" s="156">
        <f t="shared" si="236"/>
        <v>465</v>
      </c>
      <c r="I335" s="263">
        <v>296.75</v>
      </c>
      <c r="J335" s="108">
        <v>75</v>
      </c>
      <c r="K335" s="108">
        <v>50</v>
      </c>
      <c r="L335" s="108">
        <v>5</v>
      </c>
      <c r="M335" s="108">
        <v>15</v>
      </c>
      <c r="N335" s="108"/>
      <c r="O335" s="109">
        <v>23.25</v>
      </c>
      <c r="P335" s="109"/>
      <c r="Q335" s="112">
        <f t="shared" si="237"/>
        <v>465</v>
      </c>
      <c r="R335" s="159">
        <v>296.75</v>
      </c>
      <c r="S335" s="159">
        <v>75</v>
      </c>
      <c r="T335" s="159">
        <v>50</v>
      </c>
      <c r="U335" s="159">
        <v>5</v>
      </c>
      <c r="V335" s="159">
        <v>15</v>
      </c>
      <c r="W335" s="159">
        <v>0</v>
      </c>
      <c r="X335" s="159">
        <v>23.25</v>
      </c>
      <c r="Y335" s="109"/>
      <c r="Z335" s="179">
        <f t="shared" si="238"/>
        <v>465</v>
      </c>
      <c r="AA335" s="159">
        <v>296.75</v>
      </c>
      <c r="AB335" s="159">
        <v>75</v>
      </c>
      <c r="AC335" s="159">
        <v>50</v>
      </c>
      <c r="AD335" s="159">
        <v>5</v>
      </c>
      <c r="AE335" s="159">
        <v>15</v>
      </c>
      <c r="AF335" s="159">
        <v>0</v>
      </c>
      <c r="AG335" s="159">
        <v>23.25</v>
      </c>
      <c r="AH335" s="109"/>
      <c r="AI335" s="179">
        <f t="shared" si="239"/>
        <v>464.99899999999997</v>
      </c>
      <c r="AJ335" s="159">
        <v>300.769</v>
      </c>
      <c r="AK335" s="159">
        <v>72.921</v>
      </c>
      <c r="AL335" s="159">
        <v>48.614</v>
      </c>
      <c r="AM335" s="159">
        <v>4.861</v>
      </c>
      <c r="AN335" s="159">
        <v>14.584</v>
      </c>
      <c r="AO335" s="159"/>
      <c r="AP335" s="159">
        <v>23.25</v>
      </c>
      <c r="AQ335" s="109"/>
      <c r="AR335" s="179">
        <f t="shared" si="240"/>
        <v>464.99899999999997</v>
      </c>
      <c r="AS335" s="159">
        <v>300.769</v>
      </c>
      <c r="AT335" s="159">
        <v>72.921</v>
      </c>
      <c r="AU335" s="159">
        <v>48.614</v>
      </c>
      <c r="AV335" s="159">
        <v>4.861</v>
      </c>
      <c r="AW335" s="159">
        <v>14.584</v>
      </c>
      <c r="AX335" s="159"/>
      <c r="AY335" s="159">
        <v>23.25</v>
      </c>
      <c r="AZ335" s="109"/>
    </row>
    <row r="336" spans="1:52" s="129" customFormat="1" ht="12" customHeight="1" hidden="1" outlineLevel="1">
      <c r="A336" s="98"/>
      <c r="B336" s="46"/>
      <c r="C336" s="96"/>
      <c r="D336" s="46"/>
      <c r="E336" s="81" t="s">
        <v>471</v>
      </c>
      <c r="F336" s="126"/>
      <c r="G336" s="81"/>
      <c r="H336" s="99">
        <f>H328/$H$328</f>
        <v>1</v>
      </c>
      <c r="I336" s="261">
        <f aca="true" t="shared" si="241" ref="I336:P336">I328/$H$328</f>
        <v>0.61</v>
      </c>
      <c r="J336" s="99">
        <f t="shared" si="241"/>
        <v>0.18666666666666668</v>
      </c>
      <c r="K336" s="99">
        <f t="shared" si="241"/>
        <v>0.06666666666666667</v>
      </c>
      <c r="L336" s="99">
        <f t="shared" si="241"/>
        <v>0.02</v>
      </c>
      <c r="M336" s="99">
        <f t="shared" si="241"/>
        <v>0.03333333333333333</v>
      </c>
      <c r="N336" s="99">
        <f t="shared" si="241"/>
        <v>0.03333333333333333</v>
      </c>
      <c r="O336" s="99">
        <f t="shared" si="241"/>
        <v>0.05</v>
      </c>
      <c r="P336" s="99">
        <f t="shared" si="241"/>
        <v>0</v>
      </c>
      <c r="Q336" s="99">
        <f>Q328/$Q$328</f>
        <v>1</v>
      </c>
      <c r="R336" s="99">
        <f aca="true" t="shared" si="242" ref="R336:Y336">R328/$Q$328</f>
        <v>0.61</v>
      </c>
      <c r="S336" s="99">
        <f t="shared" si="242"/>
        <v>0.18666666666666668</v>
      </c>
      <c r="T336" s="99">
        <f t="shared" si="242"/>
        <v>0.06666666666666667</v>
      </c>
      <c r="U336" s="99">
        <f t="shared" si="242"/>
        <v>0.02</v>
      </c>
      <c r="V336" s="99">
        <f t="shared" si="242"/>
        <v>0.03333333333333333</v>
      </c>
      <c r="W336" s="99">
        <f t="shared" si="242"/>
        <v>0.03333333333333333</v>
      </c>
      <c r="X336" s="99">
        <f t="shared" si="242"/>
        <v>0.05</v>
      </c>
      <c r="Y336" s="99">
        <f t="shared" si="242"/>
        <v>0</v>
      </c>
      <c r="Z336" s="99">
        <f>Z328/$Z$328</f>
        <v>1</v>
      </c>
      <c r="AA336" s="99">
        <f aca="true" t="shared" si="243" ref="AA336:AH336">AA328/$Z$328</f>
        <v>0.61</v>
      </c>
      <c r="AB336" s="99">
        <f t="shared" si="243"/>
        <v>0.18666666666666668</v>
      </c>
      <c r="AC336" s="99">
        <f t="shared" si="243"/>
        <v>0.06666666666666667</v>
      </c>
      <c r="AD336" s="99">
        <f t="shared" si="243"/>
        <v>0.02</v>
      </c>
      <c r="AE336" s="99">
        <f t="shared" si="243"/>
        <v>0.03333333333333333</v>
      </c>
      <c r="AF336" s="99">
        <f t="shared" si="243"/>
        <v>0.03333333333333333</v>
      </c>
      <c r="AG336" s="99">
        <f t="shared" si="243"/>
        <v>0.05</v>
      </c>
      <c r="AH336" s="99">
        <f t="shared" si="243"/>
        <v>0</v>
      </c>
      <c r="AI336" s="99">
        <f>AI328/$Z$328</f>
        <v>0.9999986666666667</v>
      </c>
      <c r="AJ336" s="99">
        <f aca="true" t="shared" si="244" ref="AJ336:AQ336">AJ328/$Z$328</f>
        <v>0.7363453333333334</v>
      </c>
      <c r="AK336" s="99">
        <f t="shared" si="244"/>
        <v>0.048614000000000004</v>
      </c>
      <c r="AL336" s="99">
        <f t="shared" si="244"/>
        <v>0.07500733333333333</v>
      </c>
      <c r="AM336" s="99">
        <f t="shared" si="244"/>
        <v>0.030418666666666663</v>
      </c>
      <c r="AN336" s="99">
        <f t="shared" si="244"/>
        <v>0.02467933333333333</v>
      </c>
      <c r="AO336" s="99">
        <f t="shared" si="244"/>
        <v>0.034934</v>
      </c>
      <c r="AP336" s="99">
        <f t="shared" si="244"/>
        <v>0.05</v>
      </c>
      <c r="AQ336" s="99">
        <f t="shared" si="244"/>
        <v>0</v>
      </c>
      <c r="AR336" s="99">
        <f>AR328/$Z$328</f>
        <v>0.9999986666666667</v>
      </c>
      <c r="AS336" s="99">
        <f aca="true" t="shared" si="245" ref="AS336:AZ336">AS328/$Z$328</f>
        <v>0.7363453333333334</v>
      </c>
      <c r="AT336" s="99">
        <f t="shared" si="245"/>
        <v>0.048614000000000004</v>
      </c>
      <c r="AU336" s="99">
        <f t="shared" si="245"/>
        <v>0.07500733333333333</v>
      </c>
      <c r="AV336" s="99">
        <f t="shared" si="245"/>
        <v>0.030418666666666663</v>
      </c>
      <c r="AW336" s="99">
        <f t="shared" si="245"/>
        <v>0.02467933333333333</v>
      </c>
      <c r="AX336" s="99">
        <f t="shared" si="245"/>
        <v>0.034934</v>
      </c>
      <c r="AY336" s="99">
        <f t="shared" si="245"/>
        <v>0.05</v>
      </c>
      <c r="AZ336" s="99">
        <f t="shared" si="245"/>
        <v>0</v>
      </c>
    </row>
    <row r="337" spans="1:52" s="129" customFormat="1" ht="12" customHeight="1" hidden="1" outlineLevel="1">
      <c r="A337" s="98"/>
      <c r="B337" s="46"/>
      <c r="C337" s="120"/>
      <c r="D337" s="46"/>
      <c r="E337" s="81" t="s">
        <v>472</v>
      </c>
      <c r="F337" s="126"/>
      <c r="G337" s="81"/>
      <c r="H337" s="99"/>
      <c r="I337" s="261"/>
      <c r="J337" s="99"/>
      <c r="K337" s="99"/>
      <c r="L337" s="99"/>
      <c r="M337" s="99"/>
      <c r="N337" s="99"/>
      <c r="O337" s="99"/>
      <c r="P337" s="99"/>
      <c r="Q337" s="65">
        <f aca="true" t="shared" si="246" ref="Q337:AH337">Q328-H328</f>
        <v>0</v>
      </c>
      <c r="R337" s="65">
        <f t="shared" si="246"/>
        <v>0</v>
      </c>
      <c r="S337" s="65">
        <f t="shared" si="246"/>
        <v>0</v>
      </c>
      <c r="T337" s="65">
        <f t="shared" si="246"/>
        <v>0</v>
      </c>
      <c r="U337" s="65">
        <f t="shared" si="246"/>
        <v>0</v>
      </c>
      <c r="V337" s="65">
        <f t="shared" si="246"/>
        <v>0</v>
      </c>
      <c r="W337" s="65">
        <f t="shared" si="246"/>
        <v>0</v>
      </c>
      <c r="X337" s="65">
        <f t="shared" si="246"/>
        <v>0</v>
      </c>
      <c r="Y337" s="65">
        <f t="shared" si="246"/>
        <v>0</v>
      </c>
      <c r="Z337" s="161">
        <f t="shared" si="246"/>
        <v>0</v>
      </c>
      <c r="AA337" s="161">
        <f t="shared" si="246"/>
        <v>0</v>
      </c>
      <c r="AB337" s="161">
        <f t="shared" si="246"/>
        <v>0</v>
      </c>
      <c r="AC337" s="161">
        <f t="shared" si="246"/>
        <v>0</v>
      </c>
      <c r="AD337" s="161">
        <f t="shared" si="246"/>
        <v>0</v>
      </c>
      <c r="AE337" s="161">
        <f t="shared" si="246"/>
        <v>0</v>
      </c>
      <c r="AF337" s="161">
        <f t="shared" si="246"/>
        <v>0</v>
      </c>
      <c r="AG337" s="161">
        <f t="shared" si="246"/>
        <v>0</v>
      </c>
      <c r="AH337" s="161">
        <f t="shared" si="246"/>
        <v>0</v>
      </c>
      <c r="AI337" s="161">
        <f aca="true" t="shared" si="247" ref="AI337:AR337">AI328-Z328</f>
        <v>-0.0019999999999527063</v>
      </c>
      <c r="AJ337" s="161">
        <f t="shared" si="247"/>
        <v>189.51800000000003</v>
      </c>
      <c r="AK337" s="161">
        <f t="shared" si="247"/>
        <v>-207.079</v>
      </c>
      <c r="AL337" s="161">
        <f t="shared" si="247"/>
        <v>12.510999999999996</v>
      </c>
      <c r="AM337" s="161">
        <f t="shared" si="247"/>
        <v>15.627999999999993</v>
      </c>
      <c r="AN337" s="161">
        <f t="shared" si="247"/>
        <v>-12.981000000000002</v>
      </c>
      <c r="AO337" s="161">
        <f t="shared" si="247"/>
        <v>2.4010000000000034</v>
      </c>
      <c r="AP337" s="161">
        <f t="shared" si="247"/>
        <v>0</v>
      </c>
      <c r="AQ337" s="161">
        <f t="shared" si="247"/>
        <v>0</v>
      </c>
      <c r="AR337" s="161">
        <f t="shared" si="247"/>
        <v>0</v>
      </c>
      <c r="AS337" s="161">
        <f aca="true" t="shared" si="248" ref="AS337:AZ337">AS328-AI328</f>
        <v>-395.48</v>
      </c>
      <c r="AT337" s="161">
        <f t="shared" si="248"/>
        <v>-1031.597</v>
      </c>
      <c r="AU337" s="161">
        <f t="shared" si="248"/>
        <v>39.58999999999999</v>
      </c>
      <c r="AV337" s="161">
        <f t="shared" si="248"/>
        <v>-66.88300000000001</v>
      </c>
      <c r="AW337" s="161">
        <f t="shared" si="248"/>
        <v>-8.608999999999995</v>
      </c>
      <c r="AX337" s="161">
        <f t="shared" si="248"/>
        <v>15.382000000000005</v>
      </c>
      <c r="AY337" s="161">
        <f t="shared" si="248"/>
        <v>22.598999999999997</v>
      </c>
      <c r="AZ337" s="161">
        <f t="shared" si="248"/>
        <v>-75</v>
      </c>
    </row>
    <row r="338" spans="1:52" s="130" customFormat="1" ht="12" customHeight="1" hidden="1" outlineLevel="1">
      <c r="A338" s="10"/>
      <c r="B338" s="46"/>
      <c r="C338" s="46"/>
      <c r="D338" s="46"/>
      <c r="E338" s="43" t="s">
        <v>473</v>
      </c>
      <c r="F338" s="44"/>
      <c r="G338" s="43"/>
      <c r="H338" s="49"/>
      <c r="I338" s="262"/>
      <c r="J338" s="49"/>
      <c r="K338" s="49"/>
      <c r="L338" s="49"/>
      <c r="M338" s="49"/>
      <c r="N338" s="49"/>
      <c r="O338" s="49"/>
      <c r="P338" s="49"/>
      <c r="Q338" s="49"/>
      <c r="R338" s="49"/>
      <c r="S338" s="84"/>
      <c r="T338" s="49"/>
      <c r="U338" s="49"/>
      <c r="V338" s="49"/>
      <c r="W338" s="49"/>
      <c r="X338" s="49"/>
      <c r="Y338" s="49"/>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row>
    <row r="339" spans="1:133" s="56" customFormat="1" ht="12" customHeight="1" collapsed="1">
      <c r="A339" s="88">
        <v>44</v>
      </c>
      <c r="B339" s="106" t="s">
        <v>482</v>
      </c>
      <c r="C339" s="106" t="s">
        <v>615</v>
      </c>
      <c r="D339" s="106" t="s">
        <v>530</v>
      </c>
      <c r="E339" s="102"/>
      <c r="F339" s="115">
        <f>SUM(F340:F346)</f>
        <v>514</v>
      </c>
      <c r="G339" s="102"/>
      <c r="H339" s="111">
        <f aca="true" t="shared" si="249" ref="H339:AH339">SUM(H340:H346)</f>
        <v>3830.4999999999995</v>
      </c>
      <c r="I339" s="259">
        <f t="shared" si="249"/>
        <v>2167.7999999999997</v>
      </c>
      <c r="J339" s="89">
        <f t="shared" si="249"/>
        <v>544.95</v>
      </c>
      <c r="K339" s="89">
        <f t="shared" si="249"/>
        <v>50</v>
      </c>
      <c r="L339" s="89">
        <f t="shared" si="249"/>
        <v>380.1</v>
      </c>
      <c r="M339" s="89">
        <f t="shared" si="249"/>
        <v>260.233</v>
      </c>
      <c r="N339" s="89">
        <f t="shared" si="249"/>
        <v>187.967</v>
      </c>
      <c r="O339" s="89">
        <f t="shared" si="249"/>
        <v>239.45000000000002</v>
      </c>
      <c r="P339" s="89">
        <f t="shared" si="249"/>
        <v>0</v>
      </c>
      <c r="Q339" s="111">
        <f t="shared" si="249"/>
        <v>3830.499999999999</v>
      </c>
      <c r="R339" s="111">
        <f t="shared" si="249"/>
        <v>2332.3</v>
      </c>
      <c r="S339" s="111">
        <f t="shared" si="249"/>
        <v>586</v>
      </c>
      <c r="T339" s="111">
        <f t="shared" si="249"/>
        <v>200</v>
      </c>
      <c r="U339" s="111">
        <f t="shared" si="249"/>
        <v>50</v>
      </c>
      <c r="V339" s="111">
        <f t="shared" si="249"/>
        <v>67.5</v>
      </c>
      <c r="W339" s="111">
        <f t="shared" si="249"/>
        <v>150</v>
      </c>
      <c r="X339" s="111">
        <f t="shared" si="249"/>
        <v>444.7</v>
      </c>
      <c r="Y339" s="111">
        <f t="shared" si="249"/>
        <v>0</v>
      </c>
      <c r="Z339" s="111">
        <f t="shared" si="249"/>
        <v>3563.7999999999993</v>
      </c>
      <c r="AA339" s="111">
        <f aca="true" t="shared" si="250" ref="AA339:AG339">SUM(AA340:AA346)</f>
        <v>2332.3</v>
      </c>
      <c r="AB339" s="111">
        <f t="shared" si="250"/>
        <v>586</v>
      </c>
      <c r="AC339" s="111">
        <f t="shared" si="250"/>
        <v>200</v>
      </c>
      <c r="AD339" s="111">
        <f t="shared" si="250"/>
        <v>50</v>
      </c>
      <c r="AE339" s="111">
        <f t="shared" si="250"/>
        <v>67.5</v>
      </c>
      <c r="AF339" s="111">
        <f t="shared" si="250"/>
        <v>150</v>
      </c>
      <c r="AG339" s="111">
        <f t="shared" si="250"/>
        <v>178</v>
      </c>
      <c r="AH339" s="89">
        <f t="shared" si="249"/>
        <v>0</v>
      </c>
      <c r="AI339" s="111">
        <f>SUM(AI340:AI346)</f>
        <v>3563.7999999999993</v>
      </c>
      <c r="AJ339" s="111">
        <f aca="true" t="shared" si="251" ref="AJ339:AP339">SUM(AJ340:AJ346)</f>
        <v>2332.3</v>
      </c>
      <c r="AK339" s="111">
        <f t="shared" si="251"/>
        <v>586</v>
      </c>
      <c r="AL339" s="111">
        <f t="shared" si="251"/>
        <v>200</v>
      </c>
      <c r="AM339" s="111">
        <f t="shared" si="251"/>
        <v>50</v>
      </c>
      <c r="AN339" s="111">
        <f t="shared" si="251"/>
        <v>67.5</v>
      </c>
      <c r="AO339" s="111">
        <f t="shared" si="251"/>
        <v>150</v>
      </c>
      <c r="AP339" s="111">
        <f t="shared" si="251"/>
        <v>178</v>
      </c>
      <c r="AQ339" s="89">
        <f>SUM(AQ340:AQ346)</f>
        <v>0</v>
      </c>
      <c r="AR339" s="89"/>
      <c r="AS339" s="65"/>
      <c r="AT339" s="59"/>
      <c r="AU339" s="41"/>
      <c r="AV339" s="41"/>
      <c r="AW339" s="11"/>
      <c r="AX339" s="11"/>
      <c r="AY339" s="11"/>
      <c r="AZ339" s="11"/>
      <c r="BA339" s="11"/>
      <c r="BB339" s="11"/>
      <c r="BC339" s="11"/>
      <c r="BD339" s="11"/>
      <c r="BE339" s="60"/>
      <c r="BF339" s="59"/>
      <c r="BG339" s="58"/>
      <c r="BH339" s="59"/>
      <c r="BI339" s="57"/>
      <c r="BJ339" s="60"/>
      <c r="BK339" s="59"/>
      <c r="BL339" s="93"/>
      <c r="BM339" s="61"/>
      <c r="BN339" s="61"/>
      <c r="BO339" s="59"/>
      <c r="BP339" s="18"/>
      <c r="BQ339" s="39"/>
      <c r="BR339" s="12"/>
      <c r="BS339" s="12"/>
      <c r="BT339" s="32"/>
      <c r="BU339" s="14"/>
      <c r="BV339" s="28"/>
      <c r="BW339" s="28"/>
      <c r="BX339" s="14"/>
      <c r="BY339" s="29"/>
      <c r="BZ339" s="14"/>
      <c r="CA339" s="16"/>
      <c r="CB339" s="31"/>
      <c r="CC339" s="13"/>
      <c r="CD339" s="28"/>
      <c r="CE339" s="13"/>
      <c r="CF339" s="17"/>
      <c r="CG339" s="5"/>
      <c r="CH339" s="22"/>
      <c r="CI339" s="22"/>
      <c r="CJ339" s="22"/>
      <c r="CK339" s="22"/>
      <c r="CL339" s="22"/>
      <c r="CM339" s="22"/>
      <c r="CN339" s="14"/>
      <c r="CO339" s="22"/>
      <c r="CP339" s="22"/>
      <c r="CQ339" s="22"/>
      <c r="CR339" s="22"/>
      <c r="CS339" s="22"/>
      <c r="CT339" s="22"/>
      <c r="CU339" s="30"/>
      <c r="CV339" s="22"/>
      <c r="CW339" s="22"/>
      <c r="CX339" s="22"/>
      <c r="CY339" s="22"/>
      <c r="CZ339" s="22"/>
      <c r="DA339" s="22"/>
      <c r="DB339" s="22"/>
      <c r="DC339" s="35"/>
      <c r="DD339" s="37"/>
      <c r="DE339" s="22"/>
      <c r="DF339" s="5"/>
      <c r="DG339" s="36"/>
      <c r="DH339" s="22"/>
      <c r="DI339" s="14"/>
      <c r="DJ339" s="14"/>
      <c r="DK339" s="23"/>
      <c r="DL339" s="19"/>
      <c r="DM339" s="19"/>
      <c r="DN339" s="15"/>
      <c r="DO339" s="131"/>
      <c r="DQ339" s="74"/>
      <c r="DR339" s="94"/>
      <c r="DS339" s="132"/>
      <c r="DT339" s="75"/>
      <c r="DU339" s="94"/>
      <c r="DV339" s="133"/>
      <c r="DW339" s="94"/>
      <c r="DX339" s="62"/>
      <c r="DZ339" s="75"/>
      <c r="EC339" s="62"/>
    </row>
    <row r="340" spans="1:44" s="130" customFormat="1" ht="12" customHeight="1" hidden="1" outlineLevel="1">
      <c r="A340" s="10"/>
      <c r="B340" s="46"/>
      <c r="C340" s="46"/>
      <c r="D340" s="46"/>
      <c r="E340" s="81">
        <v>1</v>
      </c>
      <c r="F340" s="126">
        <v>40</v>
      </c>
      <c r="G340" s="81"/>
      <c r="H340" s="112">
        <f aca="true" t="shared" si="252" ref="H340:H346">SUM(I340:O340)</f>
        <v>237.60000000000002</v>
      </c>
      <c r="I340" s="263">
        <v>198</v>
      </c>
      <c r="J340" s="108">
        <v>19.8</v>
      </c>
      <c r="K340" s="108"/>
      <c r="L340" s="108"/>
      <c r="M340" s="108"/>
      <c r="N340" s="108"/>
      <c r="O340" s="109">
        <v>19.8</v>
      </c>
      <c r="P340" s="109"/>
      <c r="Q340" s="112">
        <f>SUM(R340:X340)</f>
        <v>237.6</v>
      </c>
      <c r="R340" s="108">
        <v>198</v>
      </c>
      <c r="S340" s="108"/>
      <c r="T340" s="108"/>
      <c r="U340" s="108"/>
      <c r="V340" s="108"/>
      <c r="W340" s="108"/>
      <c r="X340" s="109">
        <v>39.6</v>
      </c>
      <c r="Y340" s="109"/>
      <c r="Z340" s="112">
        <f aca="true" t="shared" si="253" ref="Z340:Z346">SUM(AA340:AH340)</f>
        <v>214</v>
      </c>
      <c r="AA340" s="108">
        <v>198</v>
      </c>
      <c r="AB340" s="108"/>
      <c r="AC340" s="108"/>
      <c r="AD340" s="108"/>
      <c r="AE340" s="108"/>
      <c r="AF340" s="108"/>
      <c r="AG340" s="141">
        <v>16</v>
      </c>
      <c r="AH340" s="83"/>
      <c r="AI340" s="112">
        <f aca="true" t="shared" si="254" ref="AI340:AI346">SUM(AJ340:AQ340)</f>
        <v>214</v>
      </c>
      <c r="AJ340" s="108">
        <v>198</v>
      </c>
      <c r="AK340" s="108"/>
      <c r="AL340" s="108"/>
      <c r="AM340" s="108"/>
      <c r="AN340" s="108"/>
      <c r="AO340" s="108"/>
      <c r="AP340" s="141">
        <v>16</v>
      </c>
      <c r="AQ340" s="83"/>
      <c r="AR340" s="83"/>
    </row>
    <row r="341" spans="1:44" s="130" customFormat="1" ht="12" customHeight="1" hidden="1" outlineLevel="1">
      <c r="A341" s="10"/>
      <c r="B341" s="46"/>
      <c r="C341" s="100"/>
      <c r="D341" s="100"/>
      <c r="E341" s="81">
        <v>2</v>
      </c>
      <c r="F341" s="126">
        <v>226</v>
      </c>
      <c r="G341" s="81"/>
      <c r="H341" s="112">
        <f t="shared" si="252"/>
        <v>1417.6</v>
      </c>
      <c r="I341" s="263">
        <v>1008.6</v>
      </c>
      <c r="J341" s="108">
        <v>326</v>
      </c>
      <c r="K341" s="108"/>
      <c r="L341" s="108"/>
      <c r="M341" s="108"/>
      <c r="N341" s="108"/>
      <c r="O341" s="109">
        <v>83</v>
      </c>
      <c r="P341" s="109"/>
      <c r="Q341" s="112">
        <f aca="true" t="shared" si="255" ref="Q341:Q346">SUM(R341:X341)</f>
        <v>1417.6</v>
      </c>
      <c r="R341" s="108">
        <v>765.6</v>
      </c>
      <c r="S341" s="108">
        <v>486</v>
      </c>
      <c r="T341" s="108"/>
      <c r="U341" s="108"/>
      <c r="V341" s="108"/>
      <c r="W341" s="108">
        <v>60</v>
      </c>
      <c r="X341" s="109">
        <v>106</v>
      </c>
      <c r="Y341" s="109"/>
      <c r="Z341" s="112">
        <f t="shared" si="253"/>
        <v>1354</v>
      </c>
      <c r="AA341" s="108">
        <v>765.6</v>
      </c>
      <c r="AB341" s="108">
        <v>486</v>
      </c>
      <c r="AC341" s="108"/>
      <c r="AD341" s="108"/>
      <c r="AE341" s="108"/>
      <c r="AF341" s="108">
        <v>60</v>
      </c>
      <c r="AG341" s="141">
        <v>42.4</v>
      </c>
      <c r="AH341" s="101"/>
      <c r="AI341" s="112">
        <f t="shared" si="254"/>
        <v>1354</v>
      </c>
      <c r="AJ341" s="108">
        <v>765.6</v>
      </c>
      <c r="AK341" s="108">
        <v>486</v>
      </c>
      <c r="AL341" s="108"/>
      <c r="AM341" s="108"/>
      <c r="AN341" s="108"/>
      <c r="AO341" s="108">
        <v>60</v>
      </c>
      <c r="AP341" s="141">
        <v>42.4</v>
      </c>
      <c r="AQ341" s="101"/>
      <c r="AR341" s="101"/>
    </row>
    <row r="342" spans="1:44" s="130" customFormat="1" ht="12" customHeight="1" hidden="1" outlineLevel="1">
      <c r="A342" s="10"/>
      <c r="B342" s="46"/>
      <c r="C342" s="96">
        <f>Z339*0.65*1000</f>
        <v>2316470</v>
      </c>
      <c r="D342" s="96"/>
      <c r="E342" s="81">
        <v>3</v>
      </c>
      <c r="F342" s="126">
        <v>108</v>
      </c>
      <c r="G342" s="81"/>
      <c r="H342" s="112">
        <f t="shared" si="252"/>
        <v>570.2</v>
      </c>
      <c r="I342" s="263">
        <v>475.2</v>
      </c>
      <c r="J342" s="108">
        <v>47.5</v>
      </c>
      <c r="K342" s="108"/>
      <c r="L342" s="108"/>
      <c r="M342" s="108"/>
      <c r="N342" s="108"/>
      <c r="O342" s="109">
        <v>47.5</v>
      </c>
      <c r="P342" s="109"/>
      <c r="Q342" s="112">
        <f t="shared" si="255"/>
        <v>570.2</v>
      </c>
      <c r="R342" s="108">
        <v>475.2</v>
      </c>
      <c r="S342" s="108"/>
      <c r="T342" s="108"/>
      <c r="U342" s="108"/>
      <c r="V342" s="108"/>
      <c r="W342" s="108"/>
      <c r="X342" s="109">
        <v>95</v>
      </c>
      <c r="Y342" s="109"/>
      <c r="Z342" s="112">
        <f t="shared" si="253"/>
        <v>513.2</v>
      </c>
      <c r="AA342" s="108">
        <v>475.2</v>
      </c>
      <c r="AB342" s="108"/>
      <c r="AC342" s="108"/>
      <c r="AD342" s="108"/>
      <c r="AE342" s="108"/>
      <c r="AF342" s="108"/>
      <c r="AG342" s="141">
        <v>38</v>
      </c>
      <c r="AH342" s="83"/>
      <c r="AI342" s="112">
        <f t="shared" si="254"/>
        <v>513.2</v>
      </c>
      <c r="AJ342" s="108">
        <v>475.2</v>
      </c>
      <c r="AK342" s="108"/>
      <c r="AL342" s="108"/>
      <c r="AM342" s="108"/>
      <c r="AN342" s="108"/>
      <c r="AO342" s="108"/>
      <c r="AP342" s="141">
        <v>38</v>
      </c>
      <c r="AQ342" s="83"/>
      <c r="AR342" s="83"/>
    </row>
    <row r="343" spans="1:44" s="130" customFormat="1" ht="12" customHeight="1" hidden="1" outlineLevel="1">
      <c r="A343" s="10"/>
      <c r="B343" s="46"/>
      <c r="C343" s="96">
        <f>(Z339*1000-C342)</f>
        <v>1247329.999999999</v>
      </c>
      <c r="D343" s="96"/>
      <c r="E343" s="81">
        <v>4</v>
      </c>
      <c r="F343" s="126">
        <v>72</v>
      </c>
      <c r="G343" s="81"/>
      <c r="H343" s="112">
        <f t="shared" si="252"/>
        <v>380.1</v>
      </c>
      <c r="I343" s="263"/>
      <c r="J343" s="108"/>
      <c r="K343" s="108"/>
      <c r="L343" s="108">
        <v>380.1</v>
      </c>
      <c r="M343" s="108"/>
      <c r="N343" s="108"/>
      <c r="O343" s="109"/>
      <c r="P343" s="109"/>
      <c r="Q343" s="112">
        <f t="shared" si="255"/>
        <v>380.1</v>
      </c>
      <c r="R343" s="108">
        <v>291.8</v>
      </c>
      <c r="S343" s="108">
        <v>25</v>
      </c>
      <c r="T343" s="108"/>
      <c r="U343" s="108"/>
      <c r="V343" s="108"/>
      <c r="W343" s="108"/>
      <c r="X343" s="109">
        <v>63.3</v>
      </c>
      <c r="Y343" s="109"/>
      <c r="Z343" s="112">
        <f t="shared" si="253"/>
        <v>342.1</v>
      </c>
      <c r="AA343" s="108">
        <v>291.8</v>
      </c>
      <c r="AB343" s="108">
        <v>25</v>
      </c>
      <c r="AC343" s="108"/>
      <c r="AD343" s="108"/>
      <c r="AE343" s="108"/>
      <c r="AF343" s="108"/>
      <c r="AG343" s="141">
        <v>25.3</v>
      </c>
      <c r="AH343" s="83"/>
      <c r="AI343" s="112">
        <f t="shared" si="254"/>
        <v>342.1</v>
      </c>
      <c r="AJ343" s="108">
        <v>291.8</v>
      </c>
      <c r="AK343" s="108">
        <v>25</v>
      </c>
      <c r="AL343" s="108"/>
      <c r="AM343" s="108"/>
      <c r="AN343" s="108"/>
      <c r="AO343" s="108"/>
      <c r="AP343" s="141">
        <v>25.3</v>
      </c>
      <c r="AQ343" s="83"/>
      <c r="AR343" s="83"/>
    </row>
    <row r="344" spans="1:44" s="130" customFormat="1" ht="12" customHeight="1" hidden="1" outlineLevel="1">
      <c r="A344" s="10"/>
      <c r="B344" s="46"/>
      <c r="C344" s="46"/>
      <c r="D344" s="46"/>
      <c r="E344" s="81">
        <v>5</v>
      </c>
      <c r="F344" s="126">
        <v>36</v>
      </c>
      <c r="G344" s="81"/>
      <c r="H344" s="112">
        <f t="shared" si="252"/>
        <v>783.3000000000001</v>
      </c>
      <c r="I344" s="263">
        <v>237.6</v>
      </c>
      <c r="J344" s="108"/>
      <c r="K344" s="108">
        <v>50</v>
      </c>
      <c r="L344" s="108"/>
      <c r="M344" s="108">
        <v>260.233</v>
      </c>
      <c r="N344" s="108">
        <v>187.967</v>
      </c>
      <c r="O344" s="109">
        <v>47.5</v>
      </c>
      <c r="P344" s="109"/>
      <c r="Q344" s="112">
        <f t="shared" si="255"/>
        <v>783.3</v>
      </c>
      <c r="R344" s="108">
        <v>418.3</v>
      </c>
      <c r="S344" s="108"/>
      <c r="T344" s="108">
        <v>200</v>
      </c>
      <c r="U344" s="108">
        <v>50</v>
      </c>
      <c r="V344" s="108">
        <v>67.5</v>
      </c>
      <c r="W344" s="108"/>
      <c r="X344" s="109">
        <v>47.5</v>
      </c>
      <c r="Y344" s="109"/>
      <c r="Z344" s="112">
        <f t="shared" si="253"/>
        <v>754.8</v>
      </c>
      <c r="AA344" s="108">
        <v>418.3</v>
      </c>
      <c r="AB344" s="108"/>
      <c r="AC344" s="108">
        <v>200</v>
      </c>
      <c r="AD344" s="108">
        <v>50</v>
      </c>
      <c r="AE344" s="108">
        <v>67.5</v>
      </c>
      <c r="AF344" s="108"/>
      <c r="AG344" s="141">
        <v>19</v>
      </c>
      <c r="AH344" s="83"/>
      <c r="AI344" s="112">
        <f t="shared" si="254"/>
        <v>754.8</v>
      </c>
      <c r="AJ344" s="108">
        <v>418.3</v>
      </c>
      <c r="AK344" s="108"/>
      <c r="AL344" s="108">
        <v>200</v>
      </c>
      <c r="AM344" s="108">
        <v>50</v>
      </c>
      <c r="AN344" s="108">
        <v>67.5</v>
      </c>
      <c r="AO344" s="108"/>
      <c r="AP344" s="141">
        <v>19</v>
      </c>
      <c r="AQ344" s="83"/>
      <c r="AR344" s="83"/>
    </row>
    <row r="345" spans="1:44" s="130" customFormat="1" ht="12" customHeight="1" hidden="1" outlineLevel="1">
      <c r="A345" s="10"/>
      <c r="B345" s="46"/>
      <c r="C345" s="105"/>
      <c r="D345" s="105"/>
      <c r="E345" s="81">
        <v>6</v>
      </c>
      <c r="F345" s="126">
        <v>24</v>
      </c>
      <c r="G345" s="81"/>
      <c r="H345" s="112">
        <f t="shared" si="252"/>
        <v>221.70000000000002</v>
      </c>
      <c r="I345" s="263">
        <v>158.4</v>
      </c>
      <c r="J345" s="108">
        <v>31.65</v>
      </c>
      <c r="K345" s="108"/>
      <c r="L345" s="108"/>
      <c r="M345" s="108"/>
      <c r="N345" s="108"/>
      <c r="O345" s="109">
        <v>31.65</v>
      </c>
      <c r="P345" s="109"/>
      <c r="Q345" s="112">
        <f t="shared" si="255"/>
        <v>221.7</v>
      </c>
      <c r="R345" s="108">
        <v>158.4</v>
      </c>
      <c r="S345" s="108"/>
      <c r="T345" s="108"/>
      <c r="U345" s="108"/>
      <c r="V345" s="108"/>
      <c r="W345" s="108"/>
      <c r="X345" s="109">
        <v>63.3</v>
      </c>
      <c r="Y345" s="109"/>
      <c r="Z345" s="112">
        <f t="shared" si="253"/>
        <v>183.70000000000002</v>
      </c>
      <c r="AA345" s="108">
        <v>158.4</v>
      </c>
      <c r="AB345" s="108"/>
      <c r="AC345" s="108"/>
      <c r="AD345" s="108"/>
      <c r="AE345" s="108"/>
      <c r="AF345" s="108"/>
      <c r="AG345" s="141">
        <v>25.3</v>
      </c>
      <c r="AH345" s="83"/>
      <c r="AI345" s="112">
        <f t="shared" si="254"/>
        <v>183.70000000000002</v>
      </c>
      <c r="AJ345" s="108">
        <v>158.4</v>
      </c>
      <c r="AK345" s="108"/>
      <c r="AL345" s="108"/>
      <c r="AM345" s="108"/>
      <c r="AN345" s="108"/>
      <c r="AO345" s="108"/>
      <c r="AP345" s="141">
        <v>25.3</v>
      </c>
      <c r="AQ345" s="83"/>
      <c r="AR345" s="83"/>
    </row>
    <row r="346" spans="1:44" s="130" customFormat="1" ht="12" customHeight="1" hidden="1" outlineLevel="1">
      <c r="A346" s="10"/>
      <c r="B346" s="46"/>
      <c r="C346" s="46"/>
      <c r="D346" s="46"/>
      <c r="E346" s="81">
        <v>7</v>
      </c>
      <c r="F346" s="126">
        <v>8</v>
      </c>
      <c r="G346" s="81"/>
      <c r="H346" s="112">
        <f t="shared" si="252"/>
        <v>220</v>
      </c>
      <c r="I346" s="263">
        <v>90</v>
      </c>
      <c r="J346" s="108">
        <v>120</v>
      </c>
      <c r="K346" s="108"/>
      <c r="L346" s="108"/>
      <c r="M346" s="108"/>
      <c r="N346" s="108"/>
      <c r="O346" s="109">
        <v>10</v>
      </c>
      <c r="P346" s="109"/>
      <c r="Q346" s="112">
        <f t="shared" si="255"/>
        <v>220</v>
      </c>
      <c r="R346" s="108">
        <v>25</v>
      </c>
      <c r="S346" s="108">
        <v>75</v>
      </c>
      <c r="T346" s="108"/>
      <c r="U346" s="108"/>
      <c r="V346" s="108"/>
      <c r="W346" s="108">
        <v>90</v>
      </c>
      <c r="X346" s="109">
        <v>30</v>
      </c>
      <c r="Y346" s="109"/>
      <c r="Z346" s="112">
        <f t="shared" si="253"/>
        <v>202</v>
      </c>
      <c r="AA346" s="108">
        <v>25</v>
      </c>
      <c r="AB346" s="108">
        <v>75</v>
      </c>
      <c r="AC346" s="108"/>
      <c r="AD346" s="108"/>
      <c r="AE346" s="108"/>
      <c r="AF346" s="108">
        <v>90</v>
      </c>
      <c r="AG346" s="141">
        <v>12</v>
      </c>
      <c r="AH346" s="83"/>
      <c r="AI346" s="112">
        <f t="shared" si="254"/>
        <v>202</v>
      </c>
      <c r="AJ346" s="108">
        <v>25</v>
      </c>
      <c r="AK346" s="108">
        <v>75</v>
      </c>
      <c r="AL346" s="108"/>
      <c r="AM346" s="108"/>
      <c r="AN346" s="108"/>
      <c r="AO346" s="108">
        <v>90</v>
      </c>
      <c r="AP346" s="141">
        <v>12</v>
      </c>
      <c r="AQ346" s="83"/>
      <c r="AR346" s="83"/>
    </row>
    <row r="347" spans="1:44" s="129" customFormat="1" ht="12" customHeight="1" hidden="1" outlineLevel="1">
      <c r="A347" s="98"/>
      <c r="B347" s="46"/>
      <c r="C347" s="46"/>
      <c r="D347" s="46"/>
      <c r="E347" s="81" t="s">
        <v>471</v>
      </c>
      <c r="F347" s="126"/>
      <c r="G347" s="81"/>
      <c r="H347" s="99">
        <f>H339/$H$339</f>
        <v>1</v>
      </c>
      <c r="I347" s="261">
        <f aca="true" t="shared" si="256" ref="I347:P347">I339/$H$339</f>
        <v>0.5659313405560632</v>
      </c>
      <c r="J347" s="99">
        <f t="shared" si="256"/>
        <v>0.14226602271243965</v>
      </c>
      <c r="K347" s="99">
        <f t="shared" si="256"/>
        <v>0.013053126223730584</v>
      </c>
      <c r="L347" s="99">
        <f t="shared" si="256"/>
        <v>0.09922986555279992</v>
      </c>
      <c r="M347" s="99">
        <f t="shared" si="256"/>
        <v>0.06793708393160162</v>
      </c>
      <c r="N347" s="99">
        <f t="shared" si="256"/>
        <v>0.04907113953791934</v>
      </c>
      <c r="O347" s="99">
        <f t="shared" si="256"/>
        <v>0.06251142148544578</v>
      </c>
      <c r="P347" s="99">
        <f t="shared" si="256"/>
        <v>0</v>
      </c>
      <c r="Q347" s="99">
        <f>Q339/$Q$339</f>
        <v>1</v>
      </c>
      <c r="R347" s="99">
        <f aca="true" t="shared" si="257" ref="R347:Y347">R339/$Q$339</f>
        <v>0.608876125832137</v>
      </c>
      <c r="S347" s="99">
        <f t="shared" si="257"/>
        <v>0.15298263934212247</v>
      </c>
      <c r="T347" s="99">
        <f t="shared" si="257"/>
        <v>0.052212504894922344</v>
      </c>
      <c r="U347" s="99">
        <f t="shared" si="257"/>
        <v>0.013053126223730586</v>
      </c>
      <c r="V347" s="99">
        <f t="shared" si="257"/>
        <v>0.017621720402036294</v>
      </c>
      <c r="W347" s="99">
        <f t="shared" si="257"/>
        <v>0.03915937867119176</v>
      </c>
      <c r="X347" s="99">
        <f t="shared" si="257"/>
        <v>0.11609450463385984</v>
      </c>
      <c r="Y347" s="99">
        <f t="shared" si="257"/>
        <v>0</v>
      </c>
      <c r="Z347" s="99">
        <f>Z339/$Z$339</f>
        <v>1</v>
      </c>
      <c r="AA347" s="99">
        <f aca="true" t="shared" si="258" ref="AA347:AG347">AA339/$Z$339</f>
        <v>0.6544418878724958</v>
      </c>
      <c r="AB347" s="99">
        <f t="shared" si="258"/>
        <v>0.1644312250968068</v>
      </c>
      <c r="AC347" s="99">
        <f t="shared" si="258"/>
        <v>0.05611987204669174</v>
      </c>
      <c r="AD347" s="99">
        <f t="shared" si="258"/>
        <v>0.014029968011672935</v>
      </c>
      <c r="AE347" s="99">
        <f t="shared" si="258"/>
        <v>0.018940456815758466</v>
      </c>
      <c r="AF347" s="99">
        <f t="shared" si="258"/>
        <v>0.04208990403501881</v>
      </c>
      <c r="AG347" s="99">
        <f t="shared" si="258"/>
        <v>0.04994668612155565</v>
      </c>
      <c r="AH347" s="99">
        <f>AH339/$Z$339</f>
        <v>0</v>
      </c>
      <c r="AI347" s="99">
        <f>AI339/$Z$339</f>
        <v>1</v>
      </c>
      <c r="AJ347" s="99">
        <f aca="true" t="shared" si="259" ref="AJ347:AP347">AJ339/$Z$339</f>
        <v>0.6544418878724958</v>
      </c>
      <c r="AK347" s="99">
        <f t="shared" si="259"/>
        <v>0.1644312250968068</v>
      </c>
      <c r="AL347" s="99">
        <f t="shared" si="259"/>
        <v>0.05611987204669174</v>
      </c>
      <c r="AM347" s="99">
        <f t="shared" si="259"/>
        <v>0.014029968011672935</v>
      </c>
      <c r="AN347" s="99">
        <f t="shared" si="259"/>
        <v>0.018940456815758466</v>
      </c>
      <c r="AO347" s="99">
        <f t="shared" si="259"/>
        <v>0.04208990403501881</v>
      </c>
      <c r="AP347" s="99">
        <f t="shared" si="259"/>
        <v>0.04994668612155565</v>
      </c>
      <c r="AQ347" s="99">
        <f>AQ339/$Z$339</f>
        <v>0</v>
      </c>
      <c r="AR347" s="99"/>
    </row>
    <row r="348" spans="1:44" s="129" customFormat="1" ht="12" customHeight="1" hidden="1" outlineLevel="1">
      <c r="A348" s="98"/>
      <c r="B348" s="46"/>
      <c r="C348" s="46"/>
      <c r="D348" s="46"/>
      <c r="E348" s="81" t="s">
        <v>472</v>
      </c>
      <c r="F348" s="126"/>
      <c r="G348" s="81"/>
      <c r="H348" s="99"/>
      <c r="I348" s="261"/>
      <c r="J348" s="99"/>
      <c r="K348" s="99"/>
      <c r="L348" s="99"/>
      <c r="M348" s="99"/>
      <c r="N348" s="99"/>
      <c r="O348" s="99"/>
      <c r="P348" s="99"/>
      <c r="Q348" s="65">
        <f aca="true" t="shared" si="260" ref="Q348:Y348">Q339-H339</f>
        <v>0</v>
      </c>
      <c r="R348" s="65">
        <f t="shared" si="260"/>
        <v>164.50000000000045</v>
      </c>
      <c r="S348" s="65">
        <f t="shared" si="260"/>
        <v>41.049999999999955</v>
      </c>
      <c r="T348" s="65">
        <f t="shared" si="260"/>
        <v>150</v>
      </c>
      <c r="U348" s="65">
        <f t="shared" si="260"/>
        <v>-330.1</v>
      </c>
      <c r="V348" s="65">
        <f t="shared" si="260"/>
        <v>-192.733</v>
      </c>
      <c r="W348" s="65">
        <f t="shared" si="260"/>
        <v>-37.96700000000001</v>
      </c>
      <c r="X348" s="65">
        <f t="shared" si="260"/>
        <v>205.24999999999997</v>
      </c>
      <c r="Y348" s="65">
        <f t="shared" si="260"/>
        <v>0</v>
      </c>
      <c r="Z348" s="65">
        <f>Z339-H339</f>
        <v>-266.7000000000003</v>
      </c>
      <c r="AA348" s="65">
        <f aca="true" t="shared" si="261" ref="AA348:AH348">AA339-I339</f>
        <v>164.50000000000045</v>
      </c>
      <c r="AB348" s="65">
        <f t="shared" si="261"/>
        <v>41.049999999999955</v>
      </c>
      <c r="AC348" s="65">
        <f t="shared" si="261"/>
        <v>150</v>
      </c>
      <c r="AD348" s="65">
        <f t="shared" si="261"/>
        <v>-330.1</v>
      </c>
      <c r="AE348" s="65">
        <f t="shared" si="261"/>
        <v>-192.733</v>
      </c>
      <c r="AF348" s="65">
        <f t="shared" si="261"/>
        <v>-37.96700000000001</v>
      </c>
      <c r="AG348" s="65">
        <f t="shared" si="261"/>
        <v>-61.45000000000002</v>
      </c>
      <c r="AH348" s="65">
        <f t="shared" si="261"/>
        <v>0</v>
      </c>
      <c r="AI348" s="65">
        <f aca="true" t="shared" si="262" ref="AI348:AQ348">AI339-Q339</f>
        <v>-266.6999999999998</v>
      </c>
      <c r="AJ348" s="65">
        <f t="shared" si="262"/>
        <v>0</v>
      </c>
      <c r="AK348" s="65">
        <f t="shared" si="262"/>
        <v>0</v>
      </c>
      <c r="AL348" s="65">
        <f t="shared" si="262"/>
        <v>0</v>
      </c>
      <c r="AM348" s="65">
        <f t="shared" si="262"/>
        <v>0</v>
      </c>
      <c r="AN348" s="65">
        <f t="shared" si="262"/>
        <v>0</v>
      </c>
      <c r="AO348" s="65">
        <f t="shared" si="262"/>
        <v>0</v>
      </c>
      <c r="AP348" s="65">
        <f t="shared" si="262"/>
        <v>-266.7</v>
      </c>
      <c r="AQ348" s="65">
        <f t="shared" si="262"/>
        <v>0</v>
      </c>
      <c r="AR348" s="65"/>
    </row>
    <row r="349" spans="1:44" s="130" customFormat="1" ht="12" customHeight="1" hidden="1" outlineLevel="1">
      <c r="A349" s="10"/>
      <c r="B349" s="46"/>
      <c r="C349" s="46"/>
      <c r="D349" s="46"/>
      <c r="E349" s="43" t="s">
        <v>473</v>
      </c>
      <c r="F349" s="44"/>
      <c r="G349" s="43"/>
      <c r="H349" s="49"/>
      <c r="I349" s="262"/>
      <c r="J349" s="49"/>
      <c r="K349" s="49"/>
      <c r="L349" s="49"/>
      <c r="M349" s="49"/>
      <c r="N349" s="49"/>
      <c r="O349" s="49"/>
      <c r="P349" s="49"/>
      <c r="Q349" s="49"/>
      <c r="R349" s="49"/>
      <c r="S349" s="84"/>
      <c r="T349" s="49"/>
      <c r="U349" s="49"/>
      <c r="V349" s="49"/>
      <c r="W349" s="49"/>
      <c r="X349" s="84" t="s">
        <v>616</v>
      </c>
      <c r="Y349" s="49"/>
      <c r="Z349" s="90"/>
      <c r="AA349" s="90"/>
      <c r="AB349" s="90"/>
      <c r="AC349" s="90"/>
      <c r="AD349" s="90"/>
      <c r="AE349" s="90"/>
      <c r="AF349" s="90"/>
      <c r="AG349" s="90"/>
      <c r="AH349" s="90"/>
      <c r="AI349" s="90"/>
      <c r="AJ349" s="90"/>
      <c r="AK349" s="90"/>
      <c r="AL349" s="90"/>
      <c r="AM349" s="90"/>
      <c r="AN349" s="90"/>
      <c r="AO349" s="90"/>
      <c r="AP349" s="90"/>
      <c r="AQ349" s="90"/>
      <c r="AR349" s="90"/>
    </row>
    <row r="350" spans="1:133" s="56" customFormat="1" ht="12" customHeight="1" collapsed="1">
      <c r="A350" s="88">
        <v>45</v>
      </c>
      <c r="B350" s="106" t="s">
        <v>482</v>
      </c>
      <c r="C350" s="106" t="s">
        <v>745</v>
      </c>
      <c r="D350" s="106" t="s">
        <v>530</v>
      </c>
      <c r="E350" s="102"/>
      <c r="F350" s="115">
        <f>SUM(F351:F355)</f>
        <v>29</v>
      </c>
      <c r="G350" s="102"/>
      <c r="H350" s="111">
        <f aca="true" t="shared" si="263" ref="H350:Z350">SUM(H351:H355)</f>
        <v>500</v>
      </c>
      <c r="I350" s="570">
        <f t="shared" si="263"/>
        <v>50</v>
      </c>
      <c r="J350" s="89">
        <f t="shared" si="263"/>
        <v>90</v>
      </c>
      <c r="K350" s="89">
        <f t="shared" si="263"/>
        <v>70</v>
      </c>
      <c r="L350" s="89">
        <f t="shared" si="263"/>
        <v>130</v>
      </c>
      <c r="M350" s="89">
        <f t="shared" si="263"/>
        <v>50</v>
      </c>
      <c r="N350" s="89">
        <f t="shared" si="263"/>
        <v>90</v>
      </c>
      <c r="O350" s="89">
        <f t="shared" si="263"/>
        <v>20</v>
      </c>
      <c r="P350" s="89">
        <f t="shared" si="263"/>
        <v>0</v>
      </c>
      <c r="Q350" s="111">
        <f t="shared" si="263"/>
        <v>498.707</v>
      </c>
      <c r="R350" s="111">
        <f t="shared" si="263"/>
        <v>48.4</v>
      </c>
      <c r="S350" s="111">
        <f t="shared" si="263"/>
        <v>89.86</v>
      </c>
      <c r="T350" s="111">
        <f t="shared" si="263"/>
        <v>68.5</v>
      </c>
      <c r="U350" s="111">
        <f t="shared" si="263"/>
        <v>136.857</v>
      </c>
      <c r="V350" s="111">
        <f t="shared" si="263"/>
        <v>50</v>
      </c>
      <c r="W350" s="111">
        <f t="shared" si="263"/>
        <v>84.3</v>
      </c>
      <c r="X350" s="111">
        <f t="shared" si="263"/>
        <v>20.79</v>
      </c>
      <c r="Y350" s="111">
        <f t="shared" si="263"/>
        <v>0</v>
      </c>
      <c r="Z350" s="111">
        <f t="shared" si="263"/>
        <v>498.707</v>
      </c>
      <c r="AA350" s="111">
        <f aca="true" t="shared" si="264" ref="AA350:AH350">SUM(AA351:AA355)</f>
        <v>48.4</v>
      </c>
      <c r="AB350" s="111">
        <f t="shared" si="264"/>
        <v>89.86</v>
      </c>
      <c r="AC350" s="111">
        <f t="shared" si="264"/>
        <v>68.5</v>
      </c>
      <c r="AD350" s="111">
        <f t="shared" si="264"/>
        <v>136.857</v>
      </c>
      <c r="AE350" s="111">
        <f t="shared" si="264"/>
        <v>50</v>
      </c>
      <c r="AF350" s="111">
        <f t="shared" si="264"/>
        <v>84.3</v>
      </c>
      <c r="AG350" s="111">
        <f t="shared" si="264"/>
        <v>20.79</v>
      </c>
      <c r="AH350" s="89">
        <f t="shared" si="264"/>
        <v>0</v>
      </c>
      <c r="AI350" s="42">
        <v>498707</v>
      </c>
      <c r="AJ350" s="41">
        <v>88154.4</v>
      </c>
      <c r="AK350" s="42">
        <v>110315</v>
      </c>
      <c r="AL350" s="41">
        <v>13000</v>
      </c>
      <c r="AM350" s="41">
        <v>191010</v>
      </c>
      <c r="AN350" s="41">
        <v>21000</v>
      </c>
      <c r="AO350" s="42">
        <v>55091.3</v>
      </c>
      <c r="AP350" s="58">
        <v>20136.3</v>
      </c>
      <c r="AQ350" s="57"/>
      <c r="AR350" s="57"/>
      <c r="AS350" s="65"/>
      <c r="AT350" s="59"/>
      <c r="AU350" s="41"/>
      <c r="AV350" s="41"/>
      <c r="AW350" s="11"/>
      <c r="AX350" s="11"/>
      <c r="AY350" s="11"/>
      <c r="AZ350" s="11"/>
      <c r="BA350" s="11"/>
      <c r="BB350" s="11"/>
      <c r="BC350" s="11"/>
      <c r="BD350" s="11"/>
      <c r="BE350" s="60"/>
      <c r="BF350" s="59"/>
      <c r="BG350" s="58"/>
      <c r="BH350" s="59"/>
      <c r="BI350" s="57"/>
      <c r="BJ350" s="60"/>
      <c r="BK350" s="59"/>
      <c r="BL350" s="93"/>
      <c r="BM350" s="61"/>
      <c r="BN350" s="61"/>
      <c r="BO350" s="59"/>
      <c r="BP350" s="18"/>
      <c r="BQ350" s="39"/>
      <c r="BR350" s="12"/>
      <c r="BS350" s="12"/>
      <c r="BT350" s="32"/>
      <c r="BU350" s="14"/>
      <c r="BV350" s="28"/>
      <c r="BW350" s="28"/>
      <c r="BX350" s="14"/>
      <c r="BY350" s="29"/>
      <c r="BZ350" s="14"/>
      <c r="CA350" s="16"/>
      <c r="CB350" s="31"/>
      <c r="CC350" s="13"/>
      <c r="CD350" s="28"/>
      <c r="CE350" s="13"/>
      <c r="CF350" s="17"/>
      <c r="CG350" s="5"/>
      <c r="CH350" s="22"/>
      <c r="CI350" s="22"/>
      <c r="CJ350" s="22"/>
      <c r="CK350" s="22"/>
      <c r="CL350" s="22"/>
      <c r="CM350" s="22"/>
      <c r="CN350" s="14"/>
      <c r="CO350" s="22"/>
      <c r="CP350" s="22"/>
      <c r="CQ350" s="22"/>
      <c r="CR350" s="22"/>
      <c r="CS350" s="22"/>
      <c r="CT350" s="22"/>
      <c r="CU350" s="30"/>
      <c r="CV350" s="22"/>
      <c r="CW350" s="22"/>
      <c r="CX350" s="22"/>
      <c r="CY350" s="22"/>
      <c r="CZ350" s="22"/>
      <c r="DA350" s="22"/>
      <c r="DB350" s="22"/>
      <c r="DC350" s="35"/>
      <c r="DD350" s="37"/>
      <c r="DE350" s="22"/>
      <c r="DF350" s="5"/>
      <c r="DG350" s="36"/>
      <c r="DH350" s="22"/>
      <c r="DI350" s="14"/>
      <c r="DJ350" s="14"/>
      <c r="DK350" s="23"/>
      <c r="DL350" s="19"/>
      <c r="DM350" s="19"/>
      <c r="DN350" s="15"/>
      <c r="DO350" s="131"/>
      <c r="DQ350" s="74"/>
      <c r="DR350" s="94"/>
      <c r="DS350" s="132"/>
      <c r="DT350" s="75"/>
      <c r="DU350" s="94"/>
      <c r="DV350" s="133"/>
      <c r="DW350" s="94"/>
      <c r="DX350" s="62"/>
      <c r="DZ350" s="75"/>
      <c r="EC350" s="62"/>
    </row>
    <row r="351" spans="1:34" s="130" customFormat="1" ht="12" customHeight="1" hidden="1" outlineLevel="1">
      <c r="A351" s="10"/>
      <c r="B351" s="46"/>
      <c r="C351" s="46"/>
      <c r="D351" s="46"/>
      <c r="E351" s="81">
        <v>1</v>
      </c>
      <c r="F351" s="126">
        <v>2</v>
      </c>
      <c r="G351" s="81"/>
      <c r="H351" s="112">
        <f>SUM(I351:O351)</f>
        <v>10</v>
      </c>
      <c r="I351" s="303">
        <v>3</v>
      </c>
      <c r="J351" s="108">
        <v>3.5</v>
      </c>
      <c r="K351" s="108"/>
      <c r="L351" s="108"/>
      <c r="M351" s="108"/>
      <c r="N351" s="108"/>
      <c r="O351" s="109">
        <v>3.5</v>
      </c>
      <c r="P351" s="109"/>
      <c r="Q351" s="112">
        <f>SUM(R351:X351)</f>
        <v>9.39</v>
      </c>
      <c r="R351" s="108">
        <f>0.35+0.45+0.15+0.65+0.8</f>
        <v>2.4000000000000004</v>
      </c>
      <c r="S351" s="108">
        <f>0.9+0.9+1.7</f>
        <v>3.5</v>
      </c>
      <c r="T351" s="108"/>
      <c r="U351" s="108"/>
      <c r="V351" s="108"/>
      <c r="W351" s="108"/>
      <c r="X351" s="109">
        <f>0.7+0.4+0.1+0.74+1.55</f>
        <v>3.49</v>
      </c>
      <c r="Y351" s="109"/>
      <c r="Z351" s="112">
        <f>SUM(AA351:AG351)</f>
        <v>9.39</v>
      </c>
      <c r="AA351" s="108">
        <f>0.35+0.45+0.15+0.65+0.8</f>
        <v>2.4000000000000004</v>
      </c>
      <c r="AB351" s="108">
        <f>0.9+0.9+1.7</f>
        <v>3.5</v>
      </c>
      <c r="AC351" s="108"/>
      <c r="AD351" s="108"/>
      <c r="AE351" s="108"/>
      <c r="AF351" s="108"/>
      <c r="AG351" s="109">
        <f>0.7+0.4+0.1+0.74+1.55</f>
        <v>3.49</v>
      </c>
      <c r="AH351" s="109"/>
    </row>
    <row r="352" spans="1:34" s="130" customFormat="1" ht="12" customHeight="1" hidden="1" outlineLevel="1">
      <c r="A352" s="10"/>
      <c r="B352" s="46"/>
      <c r="C352" s="100"/>
      <c r="D352" s="100"/>
      <c r="E352" s="81">
        <v>2</v>
      </c>
      <c r="F352" s="126">
        <v>10</v>
      </c>
      <c r="G352" s="81"/>
      <c r="H352" s="112">
        <f>SUM(I352:O352)</f>
        <v>233</v>
      </c>
      <c r="I352" s="303">
        <v>20</v>
      </c>
      <c r="J352" s="108">
        <v>41</v>
      </c>
      <c r="K352" s="108">
        <v>29</v>
      </c>
      <c r="L352" s="108">
        <v>75</v>
      </c>
      <c r="M352" s="108">
        <v>24</v>
      </c>
      <c r="N352" s="108">
        <v>38</v>
      </c>
      <c r="O352" s="109">
        <v>6</v>
      </c>
      <c r="P352" s="109"/>
      <c r="Q352" s="112">
        <f>SUM(R352:X352)</f>
        <v>233.817</v>
      </c>
      <c r="R352" s="108">
        <f>4+4+7+4</f>
        <v>19</v>
      </c>
      <c r="S352" s="108">
        <f>5.04+25.92+9.9</f>
        <v>40.86</v>
      </c>
      <c r="T352" s="108">
        <f>29</f>
        <v>29</v>
      </c>
      <c r="U352" s="108">
        <f>64.7+17.157</f>
        <v>81.857</v>
      </c>
      <c r="V352" s="108">
        <f>24</f>
        <v>24</v>
      </c>
      <c r="W352" s="108">
        <f>32.3</f>
        <v>32.3</v>
      </c>
      <c r="X352" s="109">
        <f>1+1+2.8+2</f>
        <v>6.8</v>
      </c>
      <c r="Y352" s="109"/>
      <c r="Z352" s="112">
        <f>SUM(AA352:AG352)</f>
        <v>233.817</v>
      </c>
      <c r="AA352" s="108">
        <f>4+4+7+4</f>
        <v>19</v>
      </c>
      <c r="AB352" s="108">
        <f>5.04+25.92+9.9</f>
        <v>40.86</v>
      </c>
      <c r="AC352" s="108">
        <f>29</f>
        <v>29</v>
      </c>
      <c r="AD352" s="108">
        <f>64.7+17.157</f>
        <v>81.857</v>
      </c>
      <c r="AE352" s="108">
        <f>24</f>
        <v>24</v>
      </c>
      <c r="AF352" s="108">
        <f>32.3</f>
        <v>32.3</v>
      </c>
      <c r="AG352" s="109">
        <f>1+1+2.8+2</f>
        <v>6.8</v>
      </c>
      <c r="AH352" s="109"/>
    </row>
    <row r="353" spans="1:34" s="130" customFormat="1" ht="12" customHeight="1" hidden="1" outlineLevel="1">
      <c r="A353" s="10"/>
      <c r="B353" s="46"/>
      <c r="C353" s="96">
        <f>Z350*0.65*1000</f>
        <v>324159.55000000005</v>
      </c>
      <c r="D353" s="96"/>
      <c r="E353" s="81">
        <v>3</v>
      </c>
      <c r="F353" s="126">
        <v>6</v>
      </c>
      <c r="G353" s="81"/>
      <c r="H353" s="112">
        <f>SUM(I353:O353)</f>
        <v>147</v>
      </c>
      <c r="I353" s="303">
        <v>8.5</v>
      </c>
      <c r="J353" s="108">
        <v>23.5</v>
      </c>
      <c r="K353" s="108">
        <v>27.5</v>
      </c>
      <c r="L353" s="108">
        <v>44.5</v>
      </c>
      <c r="M353" s="108">
        <v>22.5</v>
      </c>
      <c r="N353" s="108">
        <v>15.5</v>
      </c>
      <c r="O353" s="109">
        <v>5</v>
      </c>
      <c r="P353" s="109"/>
      <c r="Q353" s="112">
        <f>SUM(R353:X353)</f>
        <v>145.5</v>
      </c>
      <c r="R353" s="108">
        <f>4.75+2.5+1.25</f>
        <v>8.5</v>
      </c>
      <c r="S353" s="108">
        <f>12.69+7.2+3.61</f>
        <v>23.5</v>
      </c>
      <c r="T353" s="108">
        <f>7.5+18.5</f>
        <v>26</v>
      </c>
      <c r="U353" s="108">
        <f>2.7+41.8</f>
        <v>44.5</v>
      </c>
      <c r="V353" s="108">
        <f>18+4.5</f>
        <v>22.5</v>
      </c>
      <c r="W353" s="108">
        <f>15.5</f>
        <v>15.5</v>
      </c>
      <c r="X353" s="109">
        <f>2.65+1.4+0.7+0.25</f>
        <v>5</v>
      </c>
      <c r="Y353" s="141"/>
      <c r="Z353" s="112">
        <f>SUM(AA353:AG353)</f>
        <v>145.5</v>
      </c>
      <c r="AA353" s="108">
        <f>4.75+2.5+1.25</f>
        <v>8.5</v>
      </c>
      <c r="AB353" s="108">
        <f>12.69+7.2+3.61</f>
        <v>23.5</v>
      </c>
      <c r="AC353" s="108">
        <f>7.5+18.5</f>
        <v>26</v>
      </c>
      <c r="AD353" s="108">
        <f>2.7+41.8</f>
        <v>44.5</v>
      </c>
      <c r="AE353" s="108">
        <f>18+4.5</f>
        <v>22.5</v>
      </c>
      <c r="AF353" s="108">
        <f>15.5</f>
        <v>15.5</v>
      </c>
      <c r="AG353" s="109">
        <f>2.65+1.4+0.7+0.25</f>
        <v>5</v>
      </c>
      <c r="AH353" s="141"/>
    </row>
    <row r="354" spans="1:34" s="130" customFormat="1" ht="12" customHeight="1" hidden="1" outlineLevel="1">
      <c r="A354" s="10"/>
      <c r="B354" s="46"/>
      <c r="C354" s="96">
        <f>(Z350*1000-C353)</f>
        <v>174547.44999999995</v>
      </c>
      <c r="D354" s="96"/>
      <c r="E354" s="81">
        <v>4</v>
      </c>
      <c r="F354" s="126">
        <v>8</v>
      </c>
      <c r="G354" s="81"/>
      <c r="H354" s="112">
        <f>SUM(I354:O354)</f>
        <v>86</v>
      </c>
      <c r="I354" s="303">
        <v>12</v>
      </c>
      <c r="J354" s="108">
        <v>17</v>
      </c>
      <c r="K354" s="108">
        <v>13.5</v>
      </c>
      <c r="L354" s="108">
        <v>8.5</v>
      </c>
      <c r="M354" s="108"/>
      <c r="N354" s="108">
        <v>32</v>
      </c>
      <c r="O354" s="109">
        <v>3</v>
      </c>
      <c r="P354" s="109"/>
      <c r="Q354" s="112">
        <f>SUM(R354:X354)</f>
        <v>86</v>
      </c>
      <c r="R354" s="108">
        <f>12</f>
        <v>12</v>
      </c>
      <c r="S354" s="108">
        <v>17</v>
      </c>
      <c r="T354" s="108">
        <v>13.5</v>
      </c>
      <c r="U354" s="108">
        <v>8.5</v>
      </c>
      <c r="V354" s="108"/>
      <c r="W354" s="108">
        <v>32</v>
      </c>
      <c r="X354" s="109">
        <v>3</v>
      </c>
      <c r="Y354" s="109"/>
      <c r="Z354" s="112">
        <f>SUM(AA354:AG354)</f>
        <v>86</v>
      </c>
      <c r="AA354" s="108">
        <f>12</f>
        <v>12</v>
      </c>
      <c r="AB354" s="108">
        <v>17</v>
      </c>
      <c r="AC354" s="108">
        <v>13.5</v>
      </c>
      <c r="AD354" s="108">
        <v>8.5</v>
      </c>
      <c r="AE354" s="108"/>
      <c r="AF354" s="108">
        <v>32</v>
      </c>
      <c r="AG354" s="109">
        <v>3</v>
      </c>
      <c r="AH354" s="109"/>
    </row>
    <row r="355" spans="1:34" s="130" customFormat="1" ht="12" customHeight="1" hidden="1" outlineLevel="1">
      <c r="A355" s="10"/>
      <c r="B355" s="46"/>
      <c r="C355" s="46"/>
      <c r="D355" s="46"/>
      <c r="E355" s="81">
        <v>5</v>
      </c>
      <c r="F355" s="126">
        <v>3</v>
      </c>
      <c r="G355" s="81"/>
      <c r="H355" s="112">
        <f>SUM(I355:O355)</f>
        <v>24</v>
      </c>
      <c r="I355" s="303">
        <v>6.5</v>
      </c>
      <c r="J355" s="108">
        <v>5</v>
      </c>
      <c r="K355" s="108"/>
      <c r="L355" s="108">
        <v>2</v>
      </c>
      <c r="M355" s="108">
        <v>3.5</v>
      </c>
      <c r="N355" s="108">
        <v>4.5</v>
      </c>
      <c r="O355" s="109">
        <v>2.5</v>
      </c>
      <c r="P355" s="109"/>
      <c r="Q355" s="112">
        <f>SUM(R355:X355)</f>
        <v>24</v>
      </c>
      <c r="R355" s="108">
        <f>2.7+1.95+1.85</f>
        <v>6.5</v>
      </c>
      <c r="S355" s="108">
        <f>2+1.5+1.5</f>
        <v>5</v>
      </c>
      <c r="T355" s="108"/>
      <c r="U355" s="108">
        <f>0.5+1.5</f>
        <v>2</v>
      </c>
      <c r="V355" s="108">
        <f>3.5</f>
        <v>3.5</v>
      </c>
      <c r="W355" s="108">
        <f>1.5+3</f>
        <v>4.5</v>
      </c>
      <c r="X355" s="109">
        <f>0.8+0.7+1</f>
        <v>2.5</v>
      </c>
      <c r="Y355" s="109"/>
      <c r="Z355" s="112">
        <f>SUM(AA355:AG355)</f>
        <v>24</v>
      </c>
      <c r="AA355" s="108">
        <f>2.7+1.95+1.85</f>
        <v>6.5</v>
      </c>
      <c r="AB355" s="108">
        <f>2+1.5+1.5</f>
        <v>5</v>
      </c>
      <c r="AC355" s="108"/>
      <c r="AD355" s="108">
        <f>0.5+1.5</f>
        <v>2</v>
      </c>
      <c r="AE355" s="108">
        <f>3.5</f>
        <v>3.5</v>
      </c>
      <c r="AF355" s="108">
        <f>1.5+3</f>
        <v>4.5</v>
      </c>
      <c r="AG355" s="109">
        <f>0.8+0.7+1</f>
        <v>2.5</v>
      </c>
      <c r="AH355" s="109"/>
    </row>
    <row r="356" spans="1:34" s="129" customFormat="1" ht="12" customHeight="1" hidden="1" outlineLevel="1">
      <c r="A356" s="98"/>
      <c r="B356" s="46"/>
      <c r="C356" s="46"/>
      <c r="D356" s="46"/>
      <c r="E356" s="81" t="s">
        <v>471</v>
      </c>
      <c r="F356" s="126"/>
      <c r="G356" s="81"/>
      <c r="H356" s="99">
        <f>H350/$H$350</f>
        <v>1</v>
      </c>
      <c r="I356" s="135">
        <f aca="true" t="shared" si="265" ref="I356:P356">I350/$H$350</f>
        <v>0.1</v>
      </c>
      <c r="J356" s="99">
        <f t="shared" si="265"/>
        <v>0.18</v>
      </c>
      <c r="K356" s="99">
        <f t="shared" si="265"/>
        <v>0.14</v>
      </c>
      <c r="L356" s="99">
        <f t="shared" si="265"/>
        <v>0.26</v>
      </c>
      <c r="M356" s="99">
        <f t="shared" si="265"/>
        <v>0.1</v>
      </c>
      <c r="N356" s="99">
        <f t="shared" si="265"/>
        <v>0.18</v>
      </c>
      <c r="O356" s="99">
        <f t="shared" si="265"/>
        <v>0.04</v>
      </c>
      <c r="P356" s="99">
        <f t="shared" si="265"/>
        <v>0</v>
      </c>
      <c r="Q356" s="99">
        <f>Q350/$Q$350</f>
        <v>1</v>
      </c>
      <c r="R356" s="99">
        <f aca="true" t="shared" si="266" ref="R356:Y356">R350/$Q$350</f>
        <v>0.09705097381829411</v>
      </c>
      <c r="S356" s="99">
        <f t="shared" si="266"/>
        <v>0.18018596089487415</v>
      </c>
      <c r="T356" s="99">
        <f t="shared" si="266"/>
        <v>0.13735520054861872</v>
      </c>
      <c r="U356" s="99">
        <f t="shared" si="266"/>
        <v>0.2744236595836834</v>
      </c>
      <c r="V356" s="99">
        <f t="shared" si="266"/>
        <v>0.10025927047344432</v>
      </c>
      <c r="W356" s="99">
        <f t="shared" si="266"/>
        <v>0.16903713001822712</v>
      </c>
      <c r="X356" s="99">
        <f t="shared" si="266"/>
        <v>0.04168780466285815</v>
      </c>
      <c r="Y356" s="99">
        <f t="shared" si="266"/>
        <v>0</v>
      </c>
      <c r="Z356" s="99">
        <f>Z350/$Z$350</f>
        <v>1</v>
      </c>
      <c r="AA356" s="99">
        <f aca="true" t="shared" si="267" ref="AA356:AG356">AA350/$Z$350</f>
        <v>0.09705097381829411</v>
      </c>
      <c r="AB356" s="99">
        <f t="shared" si="267"/>
        <v>0.18018596089487415</v>
      </c>
      <c r="AC356" s="99">
        <f t="shared" si="267"/>
        <v>0.13735520054861872</v>
      </c>
      <c r="AD356" s="99">
        <f t="shared" si="267"/>
        <v>0.2744236595836834</v>
      </c>
      <c r="AE356" s="99">
        <f t="shared" si="267"/>
        <v>0.10025927047344432</v>
      </c>
      <c r="AF356" s="99">
        <f t="shared" si="267"/>
        <v>0.16903713001822712</v>
      </c>
      <c r="AG356" s="99">
        <f t="shared" si="267"/>
        <v>0.04168780466285815</v>
      </c>
      <c r="AH356" s="99"/>
    </row>
    <row r="357" spans="1:34" s="129" customFormat="1" ht="12" customHeight="1" hidden="1" outlineLevel="1">
      <c r="A357" s="98"/>
      <c r="B357" s="46"/>
      <c r="C357" s="46"/>
      <c r="D357" s="46"/>
      <c r="E357" s="81" t="s">
        <v>472</v>
      </c>
      <c r="F357" s="126"/>
      <c r="G357" s="81"/>
      <c r="H357" s="99"/>
      <c r="I357" s="261"/>
      <c r="J357" s="99"/>
      <c r="K357" s="99"/>
      <c r="L357" s="99"/>
      <c r="M357" s="99"/>
      <c r="N357" s="99"/>
      <c r="O357" s="99"/>
      <c r="P357" s="99"/>
      <c r="Q357" s="65">
        <f aca="true" t="shared" si="268" ref="Q357:Y357">Q350-H350</f>
        <v>-1.2930000000000064</v>
      </c>
      <c r="R357" s="65">
        <f t="shared" si="268"/>
        <v>-1.6000000000000014</v>
      </c>
      <c r="S357" s="65">
        <f t="shared" si="268"/>
        <v>-0.14000000000000057</v>
      </c>
      <c r="T357" s="65">
        <f t="shared" si="268"/>
        <v>-1.5</v>
      </c>
      <c r="U357" s="65">
        <f t="shared" si="268"/>
        <v>6.856999999999999</v>
      </c>
      <c r="V357" s="65">
        <f t="shared" si="268"/>
        <v>0</v>
      </c>
      <c r="W357" s="65">
        <f t="shared" si="268"/>
        <v>-5.700000000000003</v>
      </c>
      <c r="X357" s="65">
        <f t="shared" si="268"/>
        <v>0.7899999999999991</v>
      </c>
      <c r="Y357" s="65">
        <f t="shared" si="268"/>
        <v>0</v>
      </c>
      <c r="Z357" s="65">
        <f aca="true" t="shared" si="269" ref="Z357:AH357">Z350-H350</f>
        <v>-1.2930000000000064</v>
      </c>
      <c r="AA357" s="65">
        <f t="shared" si="269"/>
        <v>-1.6000000000000014</v>
      </c>
      <c r="AB357" s="65">
        <f t="shared" si="269"/>
        <v>-0.14000000000000057</v>
      </c>
      <c r="AC357" s="65">
        <f t="shared" si="269"/>
        <v>-1.5</v>
      </c>
      <c r="AD357" s="65">
        <f t="shared" si="269"/>
        <v>6.856999999999999</v>
      </c>
      <c r="AE357" s="65">
        <f t="shared" si="269"/>
        <v>0</v>
      </c>
      <c r="AF357" s="65">
        <f t="shared" si="269"/>
        <v>-5.700000000000003</v>
      </c>
      <c r="AG357" s="65">
        <f t="shared" si="269"/>
        <v>0.7899999999999991</v>
      </c>
      <c r="AH357" s="65">
        <f t="shared" si="269"/>
        <v>0</v>
      </c>
    </row>
    <row r="358" spans="1:34" s="130" customFormat="1" ht="12" customHeight="1" hidden="1" outlineLevel="1">
      <c r="A358" s="10"/>
      <c r="B358" s="46"/>
      <c r="C358" s="46"/>
      <c r="D358" s="46"/>
      <c r="E358" s="43" t="s">
        <v>473</v>
      </c>
      <c r="F358" s="44"/>
      <c r="G358" s="43"/>
      <c r="H358" s="49"/>
      <c r="I358" s="262"/>
      <c r="J358" s="217"/>
      <c r="K358" s="49"/>
      <c r="L358" s="49"/>
      <c r="M358" s="49"/>
      <c r="N358" s="49"/>
      <c r="O358" s="49"/>
      <c r="P358" s="49"/>
      <c r="Q358" s="49"/>
      <c r="R358" s="49"/>
      <c r="S358" s="84"/>
      <c r="T358" s="49"/>
      <c r="U358" s="49"/>
      <c r="V358" s="49"/>
      <c r="W358" s="49"/>
      <c r="X358" s="84" t="s">
        <v>616</v>
      </c>
      <c r="Y358" s="49"/>
      <c r="Z358" s="65">
        <f>Z350-Q350</f>
        <v>0</v>
      </c>
      <c r="AA358" s="65">
        <f aca="true" t="shared" si="270" ref="AA358:AH358">AA350-R350</f>
        <v>0</v>
      </c>
      <c r="AB358" s="65">
        <f t="shared" si="270"/>
        <v>0</v>
      </c>
      <c r="AC358" s="65">
        <f t="shared" si="270"/>
        <v>0</v>
      </c>
      <c r="AD358" s="65">
        <f t="shared" si="270"/>
        <v>0</v>
      </c>
      <c r="AE358" s="65">
        <f t="shared" si="270"/>
        <v>0</v>
      </c>
      <c r="AF358" s="65">
        <f t="shared" si="270"/>
        <v>0</v>
      </c>
      <c r="AG358" s="65">
        <f t="shared" si="270"/>
        <v>0</v>
      </c>
      <c r="AH358" s="65">
        <f t="shared" si="270"/>
        <v>0</v>
      </c>
    </row>
    <row r="359" spans="1:133" s="56" customFormat="1" ht="12" customHeight="1" collapsed="1">
      <c r="A359" s="88">
        <v>46</v>
      </c>
      <c r="B359" s="106" t="s">
        <v>482</v>
      </c>
      <c r="C359" s="106" t="s">
        <v>184</v>
      </c>
      <c r="D359" s="106" t="s">
        <v>530</v>
      </c>
      <c r="E359" s="102"/>
      <c r="F359" s="115">
        <f>SUM(F360:F364)</f>
        <v>98</v>
      </c>
      <c r="G359" s="115">
        <f>SUM(G360:G364)</f>
        <v>46.5</v>
      </c>
      <c r="H359" s="111">
        <f aca="true" t="shared" si="271" ref="H359:Z359">SUM(H360:H364)</f>
        <v>538.8</v>
      </c>
      <c r="I359" s="359">
        <f t="shared" si="271"/>
        <v>94.8</v>
      </c>
      <c r="J359" s="359">
        <f t="shared" si="271"/>
        <v>310</v>
      </c>
      <c r="K359" s="359">
        <f t="shared" si="271"/>
        <v>60</v>
      </c>
      <c r="L359" s="359">
        <f t="shared" si="271"/>
        <v>12</v>
      </c>
      <c r="M359" s="359">
        <f t="shared" si="271"/>
        <v>19</v>
      </c>
      <c r="N359" s="359">
        <f t="shared" si="271"/>
        <v>18</v>
      </c>
      <c r="O359" s="359">
        <f t="shared" si="271"/>
        <v>25</v>
      </c>
      <c r="P359" s="359">
        <f t="shared" si="271"/>
        <v>0</v>
      </c>
      <c r="Q359" s="111">
        <f t="shared" si="271"/>
        <v>538.8</v>
      </c>
      <c r="R359" s="111">
        <f t="shared" si="271"/>
        <v>92.97999999999999</v>
      </c>
      <c r="S359" s="111">
        <f t="shared" si="271"/>
        <v>324.36</v>
      </c>
      <c r="T359" s="111">
        <f t="shared" si="271"/>
        <v>43</v>
      </c>
      <c r="U359" s="111">
        <f t="shared" si="271"/>
        <v>8</v>
      </c>
      <c r="V359" s="111">
        <f t="shared" si="271"/>
        <v>24.1</v>
      </c>
      <c r="W359" s="111">
        <f t="shared" si="271"/>
        <v>19.8</v>
      </c>
      <c r="X359" s="111">
        <f t="shared" si="271"/>
        <v>26.560000000000002</v>
      </c>
      <c r="Y359" s="111">
        <f t="shared" si="271"/>
        <v>26.82</v>
      </c>
      <c r="Z359" s="111">
        <f t="shared" si="271"/>
        <v>538.8</v>
      </c>
      <c r="AA359" s="111">
        <f aca="true" t="shared" si="272" ref="AA359:AH359">SUM(AA360:AA364)</f>
        <v>92.97999999999999</v>
      </c>
      <c r="AB359" s="111">
        <f t="shared" si="272"/>
        <v>324.36</v>
      </c>
      <c r="AC359" s="111">
        <f t="shared" si="272"/>
        <v>43</v>
      </c>
      <c r="AD359" s="111">
        <f t="shared" si="272"/>
        <v>8</v>
      </c>
      <c r="AE359" s="111">
        <f t="shared" si="272"/>
        <v>24.1</v>
      </c>
      <c r="AF359" s="111">
        <f t="shared" si="272"/>
        <v>19.8</v>
      </c>
      <c r="AG359" s="111">
        <f t="shared" si="272"/>
        <v>26.560000000000002</v>
      </c>
      <c r="AH359" s="89">
        <f t="shared" si="272"/>
        <v>26.82</v>
      </c>
      <c r="AI359" s="42"/>
      <c r="AJ359" s="41"/>
      <c r="AK359" s="42"/>
      <c r="AL359" s="41"/>
      <c r="AM359" s="41"/>
      <c r="AN359" s="41"/>
      <c r="AO359" s="42"/>
      <c r="AP359" s="58"/>
      <c r="AQ359" s="57"/>
      <c r="AR359" s="57"/>
      <c r="AS359" s="65"/>
      <c r="AT359" s="59"/>
      <c r="AU359" s="41"/>
      <c r="AV359" s="41"/>
      <c r="AW359" s="11"/>
      <c r="AX359" s="11"/>
      <c r="AY359" s="11"/>
      <c r="AZ359" s="11"/>
      <c r="BA359" s="11"/>
      <c r="BB359" s="11"/>
      <c r="BC359" s="11"/>
      <c r="BD359" s="11"/>
      <c r="BE359" s="60"/>
      <c r="BF359" s="59"/>
      <c r="BG359" s="58"/>
      <c r="BH359" s="59"/>
      <c r="BI359" s="57"/>
      <c r="BJ359" s="60"/>
      <c r="BK359" s="59"/>
      <c r="BL359" s="93"/>
      <c r="BM359" s="61"/>
      <c r="BN359" s="61"/>
      <c r="BO359" s="59"/>
      <c r="BP359" s="18"/>
      <c r="BQ359" s="39"/>
      <c r="BR359" s="12"/>
      <c r="BS359" s="12"/>
      <c r="BT359" s="32"/>
      <c r="BU359" s="14"/>
      <c r="BV359" s="28"/>
      <c r="BW359" s="28"/>
      <c r="BX359" s="14"/>
      <c r="BY359" s="29"/>
      <c r="BZ359" s="14"/>
      <c r="CA359" s="16"/>
      <c r="CB359" s="31"/>
      <c r="CC359" s="13"/>
      <c r="CD359" s="28"/>
      <c r="CE359" s="13"/>
      <c r="CF359" s="17"/>
      <c r="CG359" s="5"/>
      <c r="CH359" s="22"/>
      <c r="CI359" s="22"/>
      <c r="CJ359" s="22"/>
      <c r="CK359" s="22"/>
      <c r="CL359" s="22"/>
      <c r="CM359" s="22"/>
      <c r="CN359" s="14"/>
      <c r="CO359" s="22"/>
      <c r="CP359" s="22"/>
      <c r="CQ359" s="22"/>
      <c r="CR359" s="22"/>
      <c r="CS359" s="22"/>
      <c r="CT359" s="22"/>
      <c r="CU359" s="30"/>
      <c r="CV359" s="22"/>
      <c r="CW359" s="22"/>
      <c r="CX359" s="22"/>
      <c r="CY359" s="22"/>
      <c r="CZ359" s="22"/>
      <c r="DA359" s="22"/>
      <c r="DB359" s="22"/>
      <c r="DC359" s="35"/>
      <c r="DD359" s="37"/>
      <c r="DE359" s="22"/>
      <c r="DF359" s="5"/>
      <c r="DG359" s="36"/>
      <c r="DH359" s="22"/>
      <c r="DI359" s="14"/>
      <c r="DJ359" s="14"/>
      <c r="DK359" s="23"/>
      <c r="DL359" s="19"/>
      <c r="DM359" s="19"/>
      <c r="DN359" s="15"/>
      <c r="DO359" s="131"/>
      <c r="DQ359" s="74"/>
      <c r="DR359" s="94"/>
      <c r="DS359" s="132"/>
      <c r="DT359" s="75"/>
      <c r="DU359" s="94"/>
      <c r="DV359" s="133"/>
      <c r="DW359" s="94"/>
      <c r="DX359" s="62"/>
      <c r="DZ359" s="75"/>
      <c r="EC359" s="62"/>
    </row>
    <row r="360" spans="1:34" s="130" customFormat="1" ht="12" customHeight="1" hidden="1" outlineLevel="1">
      <c r="A360" s="10"/>
      <c r="B360" s="46"/>
      <c r="C360" s="311"/>
      <c r="D360" s="46"/>
      <c r="E360" s="81">
        <v>1</v>
      </c>
      <c r="F360" s="126">
        <v>24</v>
      </c>
      <c r="G360" s="81">
        <f>1.2+9.5+10</f>
        <v>20.7</v>
      </c>
      <c r="H360" s="112">
        <f>SUM(I360:O360)</f>
        <v>148.1</v>
      </c>
      <c r="I360" s="303">
        <v>27.6</v>
      </c>
      <c r="J360" s="274">
        <v>80.5</v>
      </c>
      <c r="K360" s="274">
        <v>20</v>
      </c>
      <c r="L360" s="274">
        <v>4</v>
      </c>
      <c r="M360" s="274">
        <v>6</v>
      </c>
      <c r="N360" s="274">
        <v>4</v>
      </c>
      <c r="O360" s="245">
        <v>6</v>
      </c>
      <c r="P360" s="245"/>
      <c r="Q360" s="112">
        <f>SUM(R360:X360)</f>
        <v>253.82</v>
      </c>
      <c r="R360" s="108">
        <v>41.38</v>
      </c>
      <c r="S360" s="108">
        <v>143.34</v>
      </c>
      <c r="T360" s="108">
        <v>43</v>
      </c>
      <c r="U360" s="108"/>
      <c r="V360" s="108">
        <v>6.1</v>
      </c>
      <c r="W360" s="108">
        <v>10</v>
      </c>
      <c r="X360" s="109">
        <v>10</v>
      </c>
      <c r="Y360" s="109">
        <v>9.96</v>
      </c>
      <c r="Z360" s="112">
        <f>SUM(AA360:AG360)</f>
        <v>253.82</v>
      </c>
      <c r="AA360" s="108">
        <v>41.38</v>
      </c>
      <c r="AB360" s="108">
        <v>143.34</v>
      </c>
      <c r="AC360" s="108">
        <v>43</v>
      </c>
      <c r="AD360" s="108"/>
      <c r="AE360" s="108">
        <v>6.1</v>
      </c>
      <c r="AF360" s="108">
        <v>10</v>
      </c>
      <c r="AG360" s="109">
        <v>10</v>
      </c>
      <c r="AH360" s="109">
        <v>9.96</v>
      </c>
    </row>
    <row r="361" spans="1:34" s="130" customFormat="1" ht="12" customHeight="1" hidden="1" outlineLevel="1">
      <c r="A361" s="10"/>
      <c r="B361" s="46"/>
      <c r="C361" s="100"/>
      <c r="D361" s="100"/>
      <c r="E361" s="81">
        <v>2</v>
      </c>
      <c r="F361" s="126">
        <v>18</v>
      </c>
      <c r="G361" s="81">
        <f>1.5+1.5+3</f>
        <v>6</v>
      </c>
      <c r="H361" s="112">
        <f>SUM(I361:O361)</f>
        <v>131.7</v>
      </c>
      <c r="I361" s="303">
        <v>31.2</v>
      </c>
      <c r="J361" s="274">
        <v>77.5</v>
      </c>
      <c r="K361" s="274"/>
      <c r="L361" s="274">
        <v>6</v>
      </c>
      <c r="M361" s="274">
        <v>5</v>
      </c>
      <c r="N361" s="274">
        <v>6</v>
      </c>
      <c r="O361" s="245">
        <v>6</v>
      </c>
      <c r="P361" s="245"/>
      <c r="Q361" s="112">
        <f>SUM(R361:X361)</f>
        <v>59.9</v>
      </c>
      <c r="R361" s="108">
        <v>12</v>
      </c>
      <c r="S361" s="108">
        <v>23.9</v>
      </c>
      <c r="T361" s="108"/>
      <c r="U361" s="108">
        <v>8</v>
      </c>
      <c r="V361" s="108">
        <v>0</v>
      </c>
      <c r="W361" s="108">
        <v>8</v>
      </c>
      <c r="X361" s="109">
        <v>8</v>
      </c>
      <c r="Y361" s="109">
        <v>3.06</v>
      </c>
      <c r="Z361" s="112">
        <f>SUM(AA361:AG361)</f>
        <v>59.9</v>
      </c>
      <c r="AA361" s="108">
        <v>12</v>
      </c>
      <c r="AB361" s="108">
        <v>23.9</v>
      </c>
      <c r="AC361" s="108"/>
      <c r="AD361" s="108">
        <v>8</v>
      </c>
      <c r="AE361" s="108">
        <v>0</v>
      </c>
      <c r="AF361" s="108">
        <v>8</v>
      </c>
      <c r="AG361" s="109">
        <v>8</v>
      </c>
      <c r="AH361" s="109">
        <v>3.06</v>
      </c>
    </row>
    <row r="362" spans="1:34" s="130" customFormat="1" ht="12" customHeight="1" hidden="1" outlineLevel="1">
      <c r="A362" s="10"/>
      <c r="B362" s="46"/>
      <c r="C362" s="96">
        <f>Z359*0.65*1000</f>
        <v>350219.99999999994</v>
      </c>
      <c r="D362" s="96"/>
      <c r="E362" s="220">
        <v>3</v>
      </c>
      <c r="F362" s="126">
        <v>12</v>
      </c>
      <c r="G362" s="81">
        <f>1.5+2.5+5</f>
        <v>9</v>
      </c>
      <c r="H362" s="112">
        <f>SUM(I362:O362)</f>
        <v>155.2</v>
      </c>
      <c r="I362" s="303">
        <v>16.2</v>
      </c>
      <c r="J362" s="274">
        <v>74</v>
      </c>
      <c r="K362" s="274">
        <v>40</v>
      </c>
      <c r="L362" s="274">
        <v>2</v>
      </c>
      <c r="M362" s="274">
        <v>8</v>
      </c>
      <c r="N362" s="274">
        <v>8</v>
      </c>
      <c r="O362" s="245">
        <v>7</v>
      </c>
      <c r="P362" s="245"/>
      <c r="Q362" s="112">
        <f>SUM(R362:X362)</f>
        <v>119.48</v>
      </c>
      <c r="R362" s="108">
        <v>18</v>
      </c>
      <c r="S362" s="108">
        <v>73.12</v>
      </c>
      <c r="T362" s="108"/>
      <c r="U362" s="108"/>
      <c r="V362" s="108">
        <v>18</v>
      </c>
      <c r="W362" s="108">
        <v>1.8</v>
      </c>
      <c r="X362" s="109">
        <v>8.56</v>
      </c>
      <c r="Y362" s="109">
        <v>13.8</v>
      </c>
      <c r="Z362" s="112">
        <f>SUM(AA362:AG362)</f>
        <v>119.48</v>
      </c>
      <c r="AA362" s="108">
        <v>18</v>
      </c>
      <c r="AB362" s="108">
        <v>73.12</v>
      </c>
      <c r="AC362" s="108"/>
      <c r="AD362" s="108"/>
      <c r="AE362" s="108">
        <v>18</v>
      </c>
      <c r="AF362" s="108">
        <v>1.8</v>
      </c>
      <c r="AG362" s="109">
        <v>8.56</v>
      </c>
      <c r="AH362" s="109">
        <v>13.8</v>
      </c>
    </row>
    <row r="363" spans="1:34" s="130" customFormat="1" ht="12" customHeight="1" hidden="1" outlineLevel="1">
      <c r="A363" s="10"/>
      <c r="B363" s="46"/>
      <c r="C363" s="96">
        <f>(Z359*1000-C362)</f>
        <v>188580.00000000006</v>
      </c>
      <c r="D363" s="96"/>
      <c r="E363" s="220">
        <v>4</v>
      </c>
      <c r="F363" s="126">
        <v>20</v>
      </c>
      <c r="G363" s="81">
        <f>2.3+3.5+5</f>
        <v>10.8</v>
      </c>
      <c r="H363" s="112">
        <f>SUM(I363:O363)</f>
        <v>47.6</v>
      </c>
      <c r="I363" s="303">
        <v>12.6</v>
      </c>
      <c r="J363" s="274">
        <v>32</v>
      </c>
      <c r="K363" s="274"/>
      <c r="L363" s="274"/>
      <c r="M363" s="274"/>
      <c r="N363" s="274">
        <v>0</v>
      </c>
      <c r="O363" s="245">
        <v>3</v>
      </c>
      <c r="P363" s="245"/>
      <c r="Q363" s="112">
        <f>SUM(R363:X363)</f>
        <v>105.6</v>
      </c>
      <c r="R363" s="108">
        <v>21.6</v>
      </c>
      <c r="S363" s="108">
        <v>84</v>
      </c>
      <c r="T363" s="108"/>
      <c r="U363" s="108"/>
      <c r="V363" s="108"/>
      <c r="W363" s="108"/>
      <c r="X363" s="109"/>
      <c r="Y363" s="109"/>
      <c r="Z363" s="112">
        <f>SUM(AA363:AG363)</f>
        <v>105.6</v>
      </c>
      <c r="AA363" s="108">
        <v>21.6</v>
      </c>
      <c r="AB363" s="108">
        <v>84</v>
      </c>
      <c r="AC363" s="108"/>
      <c r="AD363" s="108"/>
      <c r="AE363" s="108"/>
      <c r="AF363" s="108"/>
      <c r="AG363" s="109"/>
      <c r="AH363" s="109"/>
    </row>
    <row r="364" spans="1:34" s="130" customFormat="1" ht="12" customHeight="1" hidden="1" outlineLevel="1">
      <c r="A364" s="10"/>
      <c r="B364" s="46"/>
      <c r="C364" s="46"/>
      <c r="D364" s="46"/>
      <c r="E364" s="220">
        <v>5</v>
      </c>
      <c r="F364" s="126">
        <v>24</v>
      </c>
      <c r="G364" s="81"/>
      <c r="H364" s="112">
        <f>SUM(I364:O364)</f>
        <v>56.2</v>
      </c>
      <c r="I364" s="303">
        <v>7.2</v>
      </c>
      <c r="J364" s="274">
        <v>46</v>
      </c>
      <c r="K364" s="274"/>
      <c r="L364" s="274"/>
      <c r="M364" s="274"/>
      <c r="N364" s="274">
        <v>0</v>
      </c>
      <c r="O364" s="245">
        <v>3</v>
      </c>
      <c r="P364" s="245"/>
      <c r="Q364" s="112">
        <f>SUM(R364:X364)</f>
        <v>0</v>
      </c>
      <c r="R364" s="108"/>
      <c r="S364" s="108"/>
      <c r="T364" s="108"/>
      <c r="U364" s="108"/>
      <c r="V364" s="108"/>
      <c r="W364" s="108"/>
      <c r="X364" s="109"/>
      <c r="Y364" s="109"/>
      <c r="Z364" s="112">
        <f>SUM(AA364:AG364)</f>
        <v>0</v>
      </c>
      <c r="AA364" s="108"/>
      <c r="AB364" s="108"/>
      <c r="AC364" s="108"/>
      <c r="AD364" s="108"/>
      <c r="AE364" s="108"/>
      <c r="AF364" s="108"/>
      <c r="AG364" s="109"/>
      <c r="AH364" s="109"/>
    </row>
    <row r="365" spans="1:34" s="129" customFormat="1" ht="12" customHeight="1" hidden="1" outlineLevel="1">
      <c r="A365" s="98"/>
      <c r="B365" s="46"/>
      <c r="C365" s="46"/>
      <c r="D365" s="46"/>
      <c r="E365" s="81" t="s">
        <v>471</v>
      </c>
      <c r="F365" s="126"/>
      <c r="G365" s="81"/>
      <c r="H365" s="99">
        <f aca="true" t="shared" si="273" ref="H365:P365">H359/$H$359</f>
        <v>1</v>
      </c>
      <c r="I365" s="99">
        <f t="shared" si="273"/>
        <v>0.1759465478841871</v>
      </c>
      <c r="J365" s="99">
        <f t="shared" si="273"/>
        <v>0.5753526354862658</v>
      </c>
      <c r="K365" s="99">
        <f t="shared" si="273"/>
        <v>0.111358574610245</v>
      </c>
      <c r="L365" s="99">
        <f t="shared" si="273"/>
        <v>0.022271714922049</v>
      </c>
      <c r="M365" s="99">
        <f t="shared" si="273"/>
        <v>0.03526354862657758</v>
      </c>
      <c r="N365" s="99">
        <f t="shared" si="273"/>
        <v>0.0334075723830735</v>
      </c>
      <c r="O365" s="99">
        <f t="shared" si="273"/>
        <v>0.04639940608760208</v>
      </c>
      <c r="P365" s="99">
        <f t="shared" si="273"/>
        <v>0</v>
      </c>
      <c r="Q365" s="99">
        <f>Q359/$Q$359</f>
        <v>1</v>
      </c>
      <c r="R365" s="99">
        <f>R359/$Q$359</f>
        <v>0.17256867112100965</v>
      </c>
      <c r="S365" s="99">
        <f aca="true" t="shared" si="274" ref="S365:Y365">S359/$Q$359</f>
        <v>0.6020044543429844</v>
      </c>
      <c r="T365" s="99">
        <f t="shared" si="274"/>
        <v>0.07980697847067558</v>
      </c>
      <c r="U365" s="99">
        <f t="shared" si="274"/>
        <v>0.014847809948032666</v>
      </c>
      <c r="V365" s="99">
        <f t="shared" si="274"/>
        <v>0.04472902746844841</v>
      </c>
      <c r="W365" s="99">
        <f t="shared" si="274"/>
        <v>0.03674832962138085</v>
      </c>
      <c r="X365" s="99">
        <f t="shared" si="274"/>
        <v>0.049294729027468454</v>
      </c>
      <c r="Y365" s="99">
        <f t="shared" si="274"/>
        <v>0.049777282850779515</v>
      </c>
      <c r="Z365" s="99">
        <f>Z359/$Z$359</f>
        <v>1</v>
      </c>
      <c r="AA365" s="99">
        <f>AA359/$Z$359</f>
        <v>0.17256867112100965</v>
      </c>
      <c r="AB365" s="99">
        <f aca="true" t="shared" si="275" ref="AB365:AH365">AB359/$Z$359</f>
        <v>0.6020044543429844</v>
      </c>
      <c r="AC365" s="99">
        <f t="shared" si="275"/>
        <v>0.07980697847067558</v>
      </c>
      <c r="AD365" s="99">
        <f t="shared" si="275"/>
        <v>0.014847809948032666</v>
      </c>
      <c r="AE365" s="99">
        <f t="shared" si="275"/>
        <v>0.04472902746844841</v>
      </c>
      <c r="AF365" s="99">
        <f t="shared" si="275"/>
        <v>0.03674832962138085</v>
      </c>
      <c r="AG365" s="99">
        <f t="shared" si="275"/>
        <v>0.049294729027468454</v>
      </c>
      <c r="AH365" s="99">
        <f t="shared" si="275"/>
        <v>0.049777282850779515</v>
      </c>
    </row>
    <row r="366" spans="1:34" s="129" customFormat="1" ht="12" customHeight="1" hidden="1" outlineLevel="1">
      <c r="A366" s="98"/>
      <c r="B366" s="46"/>
      <c r="C366" s="46"/>
      <c r="D366" s="46"/>
      <c r="E366" s="81" t="s">
        <v>472</v>
      </c>
      <c r="F366" s="126"/>
      <c r="G366" s="81"/>
      <c r="H366" s="99"/>
      <c r="I366" s="304">
        <f>I359/F359</f>
        <v>0.9673469387755101</v>
      </c>
      <c r="J366" s="99"/>
      <c r="K366" s="99"/>
      <c r="L366" s="99"/>
      <c r="M366" s="99"/>
      <c r="N366" s="99"/>
      <c r="O366" s="99"/>
      <c r="P366" s="99"/>
      <c r="Q366" s="65">
        <f aca="true" t="shared" si="276" ref="Q366:Y366">Q359-H359</f>
        <v>0</v>
      </c>
      <c r="R366" s="307">
        <f t="shared" si="276"/>
        <v>-1.8200000000000074</v>
      </c>
      <c r="S366" s="65">
        <f t="shared" si="276"/>
        <v>14.360000000000014</v>
      </c>
      <c r="T366" s="65">
        <f t="shared" si="276"/>
        <v>-17</v>
      </c>
      <c r="U366" s="65">
        <f t="shared" si="276"/>
        <v>-4</v>
      </c>
      <c r="V366" s="65">
        <f t="shared" si="276"/>
        <v>5.100000000000001</v>
      </c>
      <c r="W366" s="65">
        <f t="shared" si="276"/>
        <v>1.8000000000000007</v>
      </c>
      <c r="X366" s="65">
        <f t="shared" si="276"/>
        <v>1.5600000000000023</v>
      </c>
      <c r="Y366" s="65">
        <f t="shared" si="276"/>
        <v>26.82</v>
      </c>
      <c r="Z366" s="65">
        <f aca="true" t="shared" si="277" ref="Z366:AH366">Z359-Q359</f>
        <v>0</v>
      </c>
      <c r="AA366" s="307">
        <f t="shared" si="277"/>
        <v>0</v>
      </c>
      <c r="AB366" s="65">
        <f t="shared" si="277"/>
        <v>0</v>
      </c>
      <c r="AC366" s="65">
        <f t="shared" si="277"/>
        <v>0</v>
      </c>
      <c r="AD366" s="65">
        <f t="shared" si="277"/>
        <v>0</v>
      </c>
      <c r="AE366" s="65">
        <f t="shared" si="277"/>
        <v>0</v>
      </c>
      <c r="AF366" s="65">
        <f t="shared" si="277"/>
        <v>0</v>
      </c>
      <c r="AG366" s="65">
        <f t="shared" si="277"/>
        <v>0</v>
      </c>
      <c r="AH366" s="65">
        <f t="shared" si="277"/>
        <v>0</v>
      </c>
    </row>
    <row r="367" spans="1:34" s="130" customFormat="1" ht="12" customHeight="1" hidden="1" outlineLevel="1">
      <c r="A367" s="10"/>
      <c r="B367" s="46"/>
      <c r="C367" s="46"/>
      <c r="D367" s="46"/>
      <c r="E367" s="43" t="s">
        <v>473</v>
      </c>
      <c r="F367" s="44"/>
      <c r="G367" s="43"/>
      <c r="H367" s="305"/>
      <c r="I367" s="262"/>
      <c r="J367" s="217"/>
      <c r="K367" s="49"/>
      <c r="L367" s="49"/>
      <c r="M367" s="49"/>
      <c r="N367" s="49"/>
      <c r="O367" s="49"/>
      <c r="P367" s="49"/>
      <c r="Q367" s="49"/>
      <c r="R367" s="49"/>
      <c r="S367" s="84"/>
      <c r="T367" s="308" t="s">
        <v>139</v>
      </c>
      <c r="U367" s="309"/>
      <c r="V367" s="309"/>
      <c r="W367" s="84"/>
      <c r="X367" s="84"/>
      <c r="Y367" s="84"/>
      <c r="Z367" s="310"/>
      <c r="AA367" s="65"/>
      <c r="AB367" s="65"/>
      <c r="AC367" s="65"/>
      <c r="AD367" s="65"/>
      <c r="AE367" s="65"/>
      <c r="AF367" s="65"/>
      <c r="AG367" s="65"/>
      <c r="AH367" s="65"/>
    </row>
    <row r="368" spans="1:133" s="56" customFormat="1" ht="12" customHeight="1" collapsed="1">
      <c r="A368" s="88">
        <v>47</v>
      </c>
      <c r="B368" s="114" t="s">
        <v>482</v>
      </c>
      <c r="C368" s="106" t="s">
        <v>45</v>
      </c>
      <c r="D368" s="106" t="s">
        <v>1</v>
      </c>
      <c r="E368" s="102"/>
      <c r="F368" s="253">
        <f aca="true" t="shared" si="278" ref="F368:AH368">SUM(F369:F370)</f>
        <v>6.545454545454546</v>
      </c>
      <c r="G368" s="253">
        <f t="shared" si="278"/>
        <v>35</v>
      </c>
      <c r="H368" s="111">
        <f t="shared" si="278"/>
        <v>509.25</v>
      </c>
      <c r="I368" s="273">
        <f t="shared" si="278"/>
        <v>18</v>
      </c>
      <c r="J368" s="273">
        <f t="shared" si="278"/>
        <v>90</v>
      </c>
      <c r="K368" s="273">
        <f t="shared" si="278"/>
        <v>2.25</v>
      </c>
      <c r="L368" s="273">
        <f t="shared" si="278"/>
        <v>350</v>
      </c>
      <c r="M368" s="273">
        <f t="shared" si="278"/>
        <v>15</v>
      </c>
      <c r="N368" s="273">
        <f t="shared" si="278"/>
        <v>15</v>
      </c>
      <c r="O368" s="273">
        <f t="shared" si="278"/>
        <v>19</v>
      </c>
      <c r="P368" s="273">
        <f t="shared" si="278"/>
        <v>0</v>
      </c>
      <c r="Q368" s="273">
        <f t="shared" si="278"/>
        <v>335.525</v>
      </c>
      <c r="R368" s="273">
        <f t="shared" si="278"/>
        <v>51.6</v>
      </c>
      <c r="S368" s="273">
        <f t="shared" si="278"/>
        <v>153</v>
      </c>
      <c r="T368" s="273">
        <f t="shared" si="278"/>
        <v>7.5</v>
      </c>
      <c r="U368" s="273">
        <f t="shared" si="278"/>
        <v>32.6</v>
      </c>
      <c r="V368" s="273">
        <f t="shared" si="278"/>
        <v>37</v>
      </c>
      <c r="W368" s="273">
        <f t="shared" si="278"/>
        <v>34.825</v>
      </c>
      <c r="X368" s="273">
        <f t="shared" si="278"/>
        <v>19</v>
      </c>
      <c r="Y368" s="273">
        <f t="shared" si="278"/>
        <v>0</v>
      </c>
      <c r="Z368" s="273">
        <f t="shared" si="278"/>
        <v>333.175</v>
      </c>
      <c r="AA368" s="273">
        <f t="shared" si="278"/>
        <v>51.6</v>
      </c>
      <c r="AB368" s="273">
        <f t="shared" si="278"/>
        <v>153</v>
      </c>
      <c r="AC368" s="273">
        <f t="shared" si="278"/>
        <v>7.5</v>
      </c>
      <c r="AD368" s="273">
        <f t="shared" si="278"/>
        <v>32.6</v>
      </c>
      <c r="AE368" s="273">
        <f t="shared" si="278"/>
        <v>37</v>
      </c>
      <c r="AF368" s="273">
        <f t="shared" si="278"/>
        <v>34.825</v>
      </c>
      <c r="AG368" s="273">
        <f t="shared" si="278"/>
        <v>16.65</v>
      </c>
      <c r="AH368" s="273">
        <f t="shared" si="278"/>
        <v>0</v>
      </c>
      <c r="AI368" s="42"/>
      <c r="AJ368" s="41"/>
      <c r="AK368" s="42"/>
      <c r="AL368" s="41"/>
      <c r="AM368" s="41"/>
      <c r="AN368" s="41"/>
      <c r="AO368" s="42"/>
      <c r="AP368" s="58"/>
      <c r="AQ368" s="57"/>
      <c r="AR368" s="57"/>
      <c r="AS368" s="65"/>
      <c r="AT368" s="59"/>
      <c r="AU368" s="41"/>
      <c r="AV368" s="41"/>
      <c r="AW368" s="11"/>
      <c r="AX368" s="11"/>
      <c r="AY368" s="11"/>
      <c r="AZ368" s="11"/>
      <c r="BA368" s="11"/>
      <c r="BB368" s="11"/>
      <c r="BC368" s="11"/>
      <c r="BD368" s="11"/>
      <c r="BE368" s="60"/>
      <c r="BF368" s="59"/>
      <c r="BG368" s="58"/>
      <c r="BH368" s="59"/>
      <c r="BI368" s="57"/>
      <c r="BJ368" s="60"/>
      <c r="BK368" s="59"/>
      <c r="BL368" s="93"/>
      <c r="BM368" s="61"/>
      <c r="BN368" s="61"/>
      <c r="BO368" s="59"/>
      <c r="BP368" s="18"/>
      <c r="BQ368" s="39"/>
      <c r="BR368" s="12"/>
      <c r="BS368" s="12"/>
      <c r="BT368" s="32"/>
      <c r="BU368" s="14"/>
      <c r="BV368" s="28"/>
      <c r="BW368" s="28"/>
      <c r="BX368" s="14"/>
      <c r="BY368" s="29"/>
      <c r="BZ368" s="14"/>
      <c r="CA368" s="16"/>
      <c r="CB368" s="31"/>
      <c r="CC368" s="13"/>
      <c r="CD368" s="28"/>
      <c r="CE368" s="13"/>
      <c r="CF368" s="17"/>
      <c r="CG368" s="5"/>
      <c r="CH368" s="22"/>
      <c r="CI368" s="22"/>
      <c r="CJ368" s="22"/>
      <c r="CK368" s="22"/>
      <c r="CL368" s="22"/>
      <c r="CM368" s="22"/>
      <c r="CN368" s="14"/>
      <c r="CO368" s="22"/>
      <c r="CP368" s="22"/>
      <c r="CQ368" s="22"/>
      <c r="CR368" s="22"/>
      <c r="CS368" s="22"/>
      <c r="CT368" s="22"/>
      <c r="CU368" s="30"/>
      <c r="CV368" s="22"/>
      <c r="CW368" s="22"/>
      <c r="CX368" s="22"/>
      <c r="CY368" s="22"/>
      <c r="CZ368" s="22"/>
      <c r="DA368" s="22"/>
      <c r="DB368" s="22"/>
      <c r="DC368" s="35"/>
      <c r="DD368" s="37"/>
      <c r="DE368" s="22"/>
      <c r="DF368" s="5"/>
      <c r="DG368" s="36"/>
      <c r="DH368" s="22"/>
      <c r="DI368" s="14"/>
      <c r="DJ368" s="14"/>
      <c r="DK368" s="23"/>
      <c r="DL368" s="19"/>
      <c r="DM368" s="19"/>
      <c r="DN368" s="15"/>
      <c r="DO368" s="131"/>
      <c r="DQ368" s="74"/>
      <c r="DR368" s="94"/>
      <c r="DS368" s="132"/>
      <c r="DT368" s="75"/>
      <c r="DU368" s="94"/>
      <c r="DV368" s="133"/>
      <c r="DW368" s="94"/>
      <c r="DX368" s="62"/>
      <c r="DZ368" s="75"/>
      <c r="EC368" s="62"/>
    </row>
    <row r="369" spans="1:34" s="130" customFormat="1" ht="12" customHeight="1" hidden="1" outlineLevel="1">
      <c r="A369" s="10"/>
      <c r="B369" s="46"/>
      <c r="C369" s="46" t="s">
        <v>46</v>
      </c>
      <c r="D369" s="46"/>
      <c r="E369" s="81">
        <v>1</v>
      </c>
      <c r="F369" s="116">
        <v>2</v>
      </c>
      <c r="G369" s="254">
        <v>20</v>
      </c>
      <c r="H369" s="112">
        <f>SUM(I369:O369)</f>
        <v>32.25</v>
      </c>
      <c r="I369" s="274"/>
      <c r="J369" s="274"/>
      <c r="K369" s="274">
        <v>2.25</v>
      </c>
      <c r="L369" s="274"/>
      <c r="M369" s="274">
        <v>15</v>
      </c>
      <c r="N369" s="274">
        <v>15</v>
      </c>
      <c r="O369" s="245"/>
      <c r="P369" s="245"/>
      <c r="Q369" s="275">
        <f>SUM(R369:X369)</f>
        <v>145.125</v>
      </c>
      <c r="R369" s="274">
        <v>33.6</v>
      </c>
      <c r="S369" s="274">
        <v>70.2</v>
      </c>
      <c r="T369" s="274">
        <v>7.5</v>
      </c>
      <c r="U369" s="274"/>
      <c r="V369" s="274">
        <v>15</v>
      </c>
      <c r="W369" s="274">
        <v>9.825</v>
      </c>
      <c r="X369" s="249">
        <v>9</v>
      </c>
      <c r="Y369" s="245"/>
      <c r="Z369" s="275">
        <f>SUM(AA369:AG369)</f>
        <v>144.375</v>
      </c>
      <c r="AA369" s="274">
        <v>33.6</v>
      </c>
      <c r="AB369" s="274">
        <v>70.2</v>
      </c>
      <c r="AC369" s="274">
        <v>7.5</v>
      </c>
      <c r="AD369" s="274"/>
      <c r="AE369" s="274">
        <v>15</v>
      </c>
      <c r="AF369" s="274">
        <v>9.825</v>
      </c>
      <c r="AG369" s="249">
        <v>8.25</v>
      </c>
      <c r="AH369" s="245"/>
    </row>
    <row r="370" spans="1:34" s="130" customFormat="1" ht="12" customHeight="1" hidden="1" outlineLevel="1">
      <c r="A370" s="10"/>
      <c r="B370" s="46"/>
      <c r="C370" s="100" t="s">
        <v>47</v>
      </c>
      <c r="D370" s="100"/>
      <c r="E370" s="81">
        <v>2</v>
      </c>
      <c r="F370" s="116">
        <f>100/22</f>
        <v>4.545454545454546</v>
      </c>
      <c r="G370" s="254">
        <v>15</v>
      </c>
      <c r="H370" s="112">
        <f>SUM(I370:O370)</f>
        <v>477</v>
      </c>
      <c r="I370" s="274">
        <v>18</v>
      </c>
      <c r="J370" s="274">
        <v>90</v>
      </c>
      <c r="K370" s="274"/>
      <c r="L370" s="274">
        <v>350</v>
      </c>
      <c r="M370" s="274"/>
      <c r="N370" s="274"/>
      <c r="O370" s="245">
        <v>19</v>
      </c>
      <c r="P370" s="245"/>
      <c r="Q370" s="275">
        <f>SUM(R370:X370)</f>
        <v>190.4</v>
      </c>
      <c r="R370" s="274">
        <v>18</v>
      </c>
      <c r="S370" s="274">
        <v>82.8</v>
      </c>
      <c r="T370" s="274"/>
      <c r="U370" s="274">
        <v>32.6</v>
      </c>
      <c r="V370" s="274">
        <v>22</v>
      </c>
      <c r="W370" s="274">
        <v>25</v>
      </c>
      <c r="X370" s="249">
        <v>10</v>
      </c>
      <c r="Y370" s="245"/>
      <c r="Z370" s="275">
        <f>SUM(AA370:AG370)</f>
        <v>188.8</v>
      </c>
      <c r="AA370" s="274">
        <v>18</v>
      </c>
      <c r="AB370" s="274">
        <v>82.8</v>
      </c>
      <c r="AC370" s="274"/>
      <c r="AD370" s="274">
        <v>32.6</v>
      </c>
      <c r="AE370" s="274">
        <v>22</v>
      </c>
      <c r="AF370" s="274">
        <v>25</v>
      </c>
      <c r="AG370" s="249">
        <v>8.4</v>
      </c>
      <c r="AH370" s="245"/>
    </row>
    <row r="371" spans="1:34" s="129" customFormat="1" ht="12" customHeight="1" hidden="1" outlineLevel="1">
      <c r="A371" s="98"/>
      <c r="B371" s="46"/>
      <c r="C371" s="100">
        <f>Z368*1000*0.5</f>
        <v>166587.5</v>
      </c>
      <c r="D371" s="46"/>
      <c r="E371" s="81" t="s">
        <v>471</v>
      </c>
      <c r="F371" s="126"/>
      <c r="G371" s="81"/>
      <c r="H371" s="99">
        <f aca="true" t="shared" si="279" ref="H371:P371">H368/$H$368</f>
        <v>1</v>
      </c>
      <c r="I371" s="99">
        <f t="shared" si="279"/>
        <v>0.035346097201767304</v>
      </c>
      <c r="J371" s="99">
        <f t="shared" si="279"/>
        <v>0.17673048600883653</v>
      </c>
      <c r="K371" s="99">
        <f t="shared" si="279"/>
        <v>0.004418262150220913</v>
      </c>
      <c r="L371" s="99">
        <f t="shared" si="279"/>
        <v>0.6872852233676976</v>
      </c>
      <c r="M371" s="99">
        <f t="shared" si="279"/>
        <v>0.029455081001472753</v>
      </c>
      <c r="N371" s="99">
        <f t="shared" si="279"/>
        <v>0.029455081001472753</v>
      </c>
      <c r="O371" s="99">
        <f t="shared" si="279"/>
        <v>0.037309769268532154</v>
      </c>
      <c r="P371" s="99">
        <f t="shared" si="279"/>
        <v>0</v>
      </c>
      <c r="Q371" s="99">
        <f aca="true" t="shared" si="280" ref="Q371:Y371">Q368/$Q$368</f>
        <v>1</v>
      </c>
      <c r="R371" s="99">
        <f t="shared" si="280"/>
        <v>0.15378883838760155</v>
      </c>
      <c r="S371" s="99">
        <f t="shared" si="280"/>
        <v>0.45600178824230686</v>
      </c>
      <c r="T371" s="99">
        <f t="shared" si="280"/>
        <v>0.0223530288354072</v>
      </c>
      <c r="U371" s="99">
        <f t="shared" si="280"/>
        <v>0.0971611653379033</v>
      </c>
      <c r="V371" s="99">
        <f t="shared" si="280"/>
        <v>0.11027494225467552</v>
      </c>
      <c r="W371" s="99">
        <f t="shared" si="280"/>
        <v>0.10379256389240743</v>
      </c>
      <c r="X371" s="99">
        <f t="shared" si="280"/>
        <v>0.056627673049698235</v>
      </c>
      <c r="Y371" s="99">
        <f t="shared" si="280"/>
        <v>0</v>
      </c>
      <c r="Z371" s="99">
        <f aca="true" t="shared" si="281" ref="Z371:AH371">Z368/$Z$368</f>
        <v>1</v>
      </c>
      <c r="AA371" s="99">
        <f t="shared" si="281"/>
        <v>0.15487356494334809</v>
      </c>
      <c r="AB371" s="99">
        <f t="shared" si="281"/>
        <v>0.45921812861109024</v>
      </c>
      <c r="AC371" s="99">
        <f t="shared" si="281"/>
        <v>0.022510692578975013</v>
      </c>
      <c r="AD371" s="99">
        <f t="shared" si="281"/>
        <v>0.09784647707661139</v>
      </c>
      <c r="AE371" s="99">
        <f t="shared" si="281"/>
        <v>0.11105275005627673</v>
      </c>
      <c r="AF371" s="99">
        <f t="shared" si="281"/>
        <v>0.10452464920837398</v>
      </c>
      <c r="AG371" s="99">
        <f t="shared" si="281"/>
        <v>0.049973737525324524</v>
      </c>
      <c r="AH371" s="99">
        <f t="shared" si="281"/>
        <v>0</v>
      </c>
    </row>
    <row r="372" spans="1:34" s="129" customFormat="1" ht="12" customHeight="1" hidden="1" outlineLevel="1">
      <c r="A372" s="98"/>
      <c r="B372" s="46"/>
      <c r="C372" s="100">
        <f>Z368*1000-C371</f>
        <v>166587.5</v>
      </c>
      <c r="D372" s="46"/>
      <c r="E372" s="81" t="s">
        <v>472</v>
      </c>
      <c r="F372" s="126"/>
      <c r="G372" s="81"/>
      <c r="H372" s="99"/>
      <c r="I372" s="261"/>
      <c r="J372" s="99"/>
      <c r="K372" s="99"/>
      <c r="L372" s="99"/>
      <c r="M372" s="99"/>
      <c r="N372" s="99"/>
      <c r="O372" s="99"/>
      <c r="P372" s="99"/>
      <c r="Q372" s="65">
        <f aca="true" t="shared" si="282" ref="Q372:Z372">Q368-H368</f>
        <v>-173.72500000000002</v>
      </c>
      <c r="R372" s="65">
        <f t="shared" si="282"/>
        <v>33.6</v>
      </c>
      <c r="S372" s="65">
        <f t="shared" si="282"/>
        <v>63</v>
      </c>
      <c r="T372" s="65">
        <f t="shared" si="282"/>
        <v>5.25</v>
      </c>
      <c r="U372" s="65">
        <f t="shared" si="282"/>
        <v>-317.4</v>
      </c>
      <c r="V372" s="65">
        <f t="shared" si="282"/>
        <v>22</v>
      </c>
      <c r="W372" s="65">
        <f t="shared" si="282"/>
        <v>19.825000000000003</v>
      </c>
      <c r="X372" s="65">
        <f t="shared" si="282"/>
        <v>0</v>
      </c>
      <c r="Y372" s="65">
        <f t="shared" si="282"/>
        <v>0</v>
      </c>
      <c r="Z372" s="65">
        <f t="shared" si="282"/>
        <v>-2.349999999999966</v>
      </c>
      <c r="AA372" s="65">
        <f aca="true" t="shared" si="283" ref="AA372:AH372">AA368-R368</f>
        <v>0</v>
      </c>
      <c r="AB372" s="65">
        <f t="shared" si="283"/>
        <v>0</v>
      </c>
      <c r="AC372" s="65">
        <f t="shared" si="283"/>
        <v>0</v>
      </c>
      <c r="AD372" s="65">
        <f t="shared" si="283"/>
        <v>0</v>
      </c>
      <c r="AE372" s="65">
        <f t="shared" si="283"/>
        <v>0</v>
      </c>
      <c r="AF372" s="65">
        <f t="shared" si="283"/>
        <v>0</v>
      </c>
      <c r="AG372" s="65">
        <f t="shared" si="283"/>
        <v>-2.3500000000000014</v>
      </c>
      <c r="AH372" s="65">
        <f t="shared" si="283"/>
        <v>0</v>
      </c>
    </row>
    <row r="373" spans="1:34" s="130" customFormat="1" ht="12" customHeight="1" hidden="1" outlineLevel="1">
      <c r="A373" s="10"/>
      <c r="B373" s="46"/>
      <c r="C373" s="46"/>
      <c r="D373" s="46"/>
      <c r="E373" s="43" t="s">
        <v>473</v>
      </c>
      <c r="F373" s="44"/>
      <c r="G373" s="43"/>
      <c r="H373" s="49"/>
      <c r="I373" s="262"/>
      <c r="J373" s="217"/>
      <c r="K373" s="49"/>
      <c r="L373" s="49"/>
      <c r="M373" s="49"/>
      <c r="N373" s="49"/>
      <c r="O373" s="49"/>
      <c r="P373" s="49"/>
      <c r="Q373" s="49"/>
      <c r="R373" s="49"/>
      <c r="S373" s="84"/>
      <c r="T373" s="49"/>
      <c r="U373" s="49"/>
      <c r="V373" s="49"/>
      <c r="W373" s="49"/>
      <c r="X373" s="84"/>
      <c r="Y373" s="49"/>
      <c r="Z373" s="65"/>
      <c r="AA373" s="65"/>
      <c r="AB373" s="65"/>
      <c r="AC373" s="65"/>
      <c r="AD373" s="65"/>
      <c r="AE373" s="65"/>
      <c r="AF373" s="65"/>
      <c r="AG373" s="65"/>
      <c r="AH373" s="65"/>
    </row>
    <row r="374" spans="1:133" s="56" customFormat="1" ht="12" customHeight="1" collapsed="1">
      <c r="A374" s="88">
        <v>50</v>
      </c>
      <c r="B374" s="114" t="s">
        <v>482</v>
      </c>
      <c r="C374" s="106" t="s">
        <v>987</v>
      </c>
      <c r="D374" s="106"/>
      <c r="E374" s="102"/>
      <c r="F374" s="115">
        <f>SUM(F375:F378)</f>
        <v>0</v>
      </c>
      <c r="G374" s="115">
        <f>SUM(G375:G380)</f>
        <v>577.165</v>
      </c>
      <c r="H374" s="111">
        <f>SUM(H375:H379)</f>
        <v>3845.2619999999997</v>
      </c>
      <c r="I374" s="111">
        <f>SUM(I375:I379)</f>
        <v>615</v>
      </c>
      <c r="J374" s="111">
        <f aca="true" t="shared" si="284" ref="J374:P374">SUM(J375:J379)</f>
        <v>1185</v>
      </c>
      <c r="K374" s="111">
        <f t="shared" si="284"/>
        <v>0</v>
      </c>
      <c r="L374" s="111">
        <f t="shared" si="284"/>
        <v>1050</v>
      </c>
      <c r="M374" s="111">
        <f t="shared" si="284"/>
        <v>780</v>
      </c>
      <c r="N374" s="111">
        <f t="shared" si="284"/>
        <v>23</v>
      </c>
      <c r="O374" s="111">
        <f t="shared" si="284"/>
        <v>192.26200000000003</v>
      </c>
      <c r="P374" s="111">
        <f t="shared" si="284"/>
        <v>0</v>
      </c>
      <c r="Q374" s="111">
        <f>SUM(Q375:Q380)</f>
        <v>3845.2660000000005</v>
      </c>
      <c r="R374" s="111">
        <f aca="true" t="shared" si="285" ref="R374:Y374">SUM(R375:R380)</f>
        <v>1080.546</v>
      </c>
      <c r="S374" s="111">
        <f t="shared" si="285"/>
        <v>2097.7200000000003</v>
      </c>
      <c r="T374" s="111">
        <f t="shared" si="285"/>
        <v>0</v>
      </c>
      <c r="U374" s="111">
        <f t="shared" si="285"/>
        <v>160</v>
      </c>
      <c r="V374" s="111">
        <f t="shared" si="285"/>
        <v>90</v>
      </c>
      <c r="W374" s="111">
        <f t="shared" si="285"/>
        <v>360</v>
      </c>
      <c r="X374" s="111">
        <f t="shared" si="285"/>
        <v>57</v>
      </c>
      <c r="Y374" s="111">
        <f t="shared" si="285"/>
        <v>0</v>
      </c>
      <c r="Z374" s="111">
        <f>SUM(Z375:Z380)</f>
        <v>3845.266</v>
      </c>
      <c r="AA374" s="111">
        <f aca="true" t="shared" si="286" ref="AA374:AH374">SUM(AA375:AA380)</f>
        <v>1024.293</v>
      </c>
      <c r="AB374" s="111">
        <f t="shared" si="286"/>
        <v>1857.96</v>
      </c>
      <c r="AC374" s="111">
        <f t="shared" si="286"/>
        <v>0</v>
      </c>
      <c r="AD374" s="111">
        <f t="shared" si="286"/>
        <v>160</v>
      </c>
      <c r="AE374" s="111">
        <f t="shared" si="286"/>
        <v>90</v>
      </c>
      <c r="AF374" s="111">
        <f t="shared" si="286"/>
        <v>360</v>
      </c>
      <c r="AG374" s="111">
        <f t="shared" si="286"/>
        <v>161.013</v>
      </c>
      <c r="AH374" s="111">
        <f t="shared" si="286"/>
        <v>192</v>
      </c>
      <c r="AI374" s="42"/>
      <c r="AJ374" s="41"/>
      <c r="AK374" s="42"/>
      <c r="AL374" s="41"/>
      <c r="AM374" s="41"/>
      <c r="AN374" s="41"/>
      <c r="AO374" s="42"/>
      <c r="AP374" s="58"/>
      <c r="AQ374" s="57"/>
      <c r="AR374" s="57"/>
      <c r="AS374" s="65"/>
      <c r="AT374" s="59"/>
      <c r="AU374" s="41"/>
      <c r="AV374" s="41"/>
      <c r="AW374" s="11"/>
      <c r="AX374" s="11"/>
      <c r="AY374" s="11"/>
      <c r="AZ374" s="11"/>
      <c r="BA374" s="11"/>
      <c r="BB374" s="11"/>
      <c r="BC374" s="11"/>
      <c r="BD374" s="11"/>
      <c r="BE374" s="60"/>
      <c r="BF374" s="59"/>
      <c r="BG374" s="58"/>
      <c r="BH374" s="59"/>
      <c r="BI374" s="57"/>
      <c r="BJ374" s="60"/>
      <c r="BK374" s="59"/>
      <c r="BL374" s="93"/>
      <c r="BM374" s="61"/>
      <c r="BN374" s="61"/>
      <c r="BO374" s="59"/>
      <c r="BP374" s="18"/>
      <c r="BQ374" s="39"/>
      <c r="BR374" s="12"/>
      <c r="BS374" s="12"/>
      <c r="BT374" s="32"/>
      <c r="BU374" s="14"/>
      <c r="BV374" s="28"/>
      <c r="BW374" s="28"/>
      <c r="BX374" s="14"/>
      <c r="BY374" s="29"/>
      <c r="BZ374" s="14"/>
      <c r="CA374" s="16"/>
      <c r="CB374" s="31"/>
      <c r="CC374" s="13"/>
      <c r="CD374" s="28"/>
      <c r="CE374" s="13"/>
      <c r="CF374" s="17"/>
      <c r="CG374" s="5"/>
      <c r="CH374" s="22"/>
      <c r="CI374" s="22"/>
      <c r="CJ374" s="22"/>
      <c r="CK374" s="22"/>
      <c r="CL374" s="22"/>
      <c r="CM374" s="22"/>
      <c r="CN374" s="14"/>
      <c r="CO374" s="22"/>
      <c r="CP374" s="22"/>
      <c r="CQ374" s="22"/>
      <c r="CR374" s="22"/>
      <c r="CS374" s="22"/>
      <c r="CT374" s="22"/>
      <c r="CU374" s="30"/>
      <c r="CV374" s="22"/>
      <c r="CW374" s="22"/>
      <c r="CX374" s="22"/>
      <c r="CY374" s="22"/>
      <c r="CZ374" s="22"/>
      <c r="DA374" s="22"/>
      <c r="DB374" s="22"/>
      <c r="DC374" s="35"/>
      <c r="DD374" s="37"/>
      <c r="DE374" s="22"/>
      <c r="DF374" s="5"/>
      <c r="DG374" s="36"/>
      <c r="DH374" s="22"/>
      <c r="DI374" s="14"/>
      <c r="DJ374" s="14"/>
      <c r="DK374" s="23"/>
      <c r="DL374" s="19"/>
      <c r="DM374" s="19"/>
      <c r="DN374" s="15"/>
      <c r="DO374" s="131"/>
      <c r="DQ374" s="74"/>
      <c r="DR374" s="94"/>
      <c r="DS374" s="132"/>
      <c r="DT374" s="75"/>
      <c r="DU374" s="94"/>
      <c r="DV374" s="133"/>
      <c r="DW374" s="94"/>
      <c r="DX374" s="62"/>
      <c r="DZ374" s="75"/>
      <c r="EC374" s="62"/>
    </row>
    <row r="375" spans="1:34" s="130" customFormat="1" ht="12.75" hidden="1" outlineLevel="1">
      <c r="A375" s="10"/>
      <c r="B375" s="49"/>
      <c r="C375" s="237" t="s">
        <v>988</v>
      </c>
      <c r="D375" s="107"/>
      <c r="E375" s="81">
        <v>1</v>
      </c>
      <c r="F375" s="113"/>
      <c r="G375" s="116">
        <f>2118.2/22</f>
        <v>96.28181818181817</v>
      </c>
      <c r="H375" s="112">
        <f>SUM(I375:P375)</f>
        <v>200</v>
      </c>
      <c r="I375" s="108">
        <v>80</v>
      </c>
      <c r="J375" s="108">
        <v>110</v>
      </c>
      <c r="K375" s="108"/>
      <c r="L375" s="108"/>
      <c r="M375" s="108"/>
      <c r="N375" s="108"/>
      <c r="O375" s="109">
        <v>10</v>
      </c>
      <c r="P375" s="109"/>
      <c r="Q375" s="112">
        <f aca="true" t="shared" si="287" ref="Q375:Q380">SUM(R375:X375)</f>
        <v>280</v>
      </c>
      <c r="R375" s="108">
        <v>243</v>
      </c>
      <c r="S375" s="108">
        <v>15</v>
      </c>
      <c r="T375" s="108"/>
      <c r="U375" s="108"/>
      <c r="V375" s="108"/>
      <c r="W375" s="108"/>
      <c r="X375" s="109">
        <v>22</v>
      </c>
      <c r="Y375" s="109"/>
      <c r="Z375" s="112">
        <f aca="true" t="shared" si="288" ref="Z375:Z380">SUM(AA375:AH375)</f>
        <v>280</v>
      </c>
      <c r="AA375" s="108">
        <v>243</v>
      </c>
      <c r="AB375" s="108">
        <v>15</v>
      </c>
      <c r="AC375" s="108"/>
      <c r="AD375" s="108"/>
      <c r="AE375" s="108"/>
      <c r="AF375" s="108"/>
      <c r="AG375" s="109">
        <v>22</v>
      </c>
      <c r="AH375" s="109"/>
    </row>
    <row r="376" spans="1:34" s="130" customFormat="1" ht="12.75" hidden="1" outlineLevel="1">
      <c r="A376" s="10"/>
      <c r="B376" s="49"/>
      <c r="C376" s="238" t="s">
        <v>989</v>
      </c>
      <c r="D376" s="100"/>
      <c r="E376" s="81">
        <v>2</v>
      </c>
      <c r="F376" s="113"/>
      <c r="G376" s="116">
        <f>1739.91/22</f>
        <v>79.08681818181819</v>
      </c>
      <c r="H376" s="112">
        <f>SUM(I376:P376)</f>
        <v>2300</v>
      </c>
      <c r="I376" s="110">
        <v>135</v>
      </c>
      <c r="J376" s="108">
        <v>400</v>
      </c>
      <c r="K376" s="108"/>
      <c r="L376" s="108">
        <v>950</v>
      </c>
      <c r="M376" s="108">
        <v>700</v>
      </c>
      <c r="N376" s="108"/>
      <c r="O376" s="109">
        <v>115</v>
      </c>
      <c r="P376" s="109"/>
      <c r="Q376" s="112">
        <f t="shared" si="287"/>
        <v>1291.769</v>
      </c>
      <c r="R376" s="108">
        <v>135.939</v>
      </c>
      <c r="S376" s="108">
        <v>610.83</v>
      </c>
      <c r="T376" s="108"/>
      <c r="U376" s="108">
        <v>95</v>
      </c>
      <c r="V376" s="108">
        <v>90</v>
      </c>
      <c r="W376" s="108">
        <v>360</v>
      </c>
      <c r="X376" s="109"/>
      <c r="Y376" s="109"/>
      <c r="Z376" s="112">
        <f t="shared" si="288"/>
        <v>1316.769</v>
      </c>
      <c r="AA376" s="108">
        <v>135.939</v>
      </c>
      <c r="AB376" s="108">
        <v>610.83</v>
      </c>
      <c r="AC376" s="108"/>
      <c r="AD376" s="108">
        <v>95</v>
      </c>
      <c r="AE376" s="108">
        <v>90</v>
      </c>
      <c r="AF376" s="108">
        <v>360</v>
      </c>
      <c r="AG376" s="298">
        <v>25</v>
      </c>
      <c r="AH376" s="109"/>
    </row>
    <row r="377" spans="1:34" s="130" customFormat="1" ht="12.75" hidden="1" outlineLevel="1">
      <c r="A377" s="10"/>
      <c r="B377" s="49"/>
      <c r="C377" s="96">
        <f>Z374*0.65*1000</f>
        <v>2499422.9</v>
      </c>
      <c r="D377" s="120"/>
      <c r="E377" s="81">
        <v>3</v>
      </c>
      <c r="F377" s="113"/>
      <c r="G377" s="130">
        <f>1919.88/22</f>
        <v>87.26727272727273</v>
      </c>
      <c r="H377" s="112">
        <f>SUM(I377:P377)</f>
        <v>605.263</v>
      </c>
      <c r="I377" s="110">
        <v>250</v>
      </c>
      <c r="J377" s="108">
        <v>325</v>
      </c>
      <c r="K377" s="108"/>
      <c r="L377" s="108"/>
      <c r="M377" s="108"/>
      <c r="N377" s="108"/>
      <c r="O377" s="109">
        <v>30.263</v>
      </c>
      <c r="P377" s="109"/>
      <c r="Q377" s="112">
        <f t="shared" si="287"/>
        <v>439.39</v>
      </c>
      <c r="R377" s="108">
        <v>150</v>
      </c>
      <c r="S377" s="108">
        <v>289.39</v>
      </c>
      <c r="T377" s="108"/>
      <c r="U377" s="108"/>
      <c r="V377" s="108"/>
      <c r="W377" s="108"/>
      <c r="X377" s="109"/>
      <c r="Y377" s="109"/>
      <c r="Z377" s="112">
        <f t="shared" si="288"/>
        <v>464.39</v>
      </c>
      <c r="AA377" s="108">
        <v>150</v>
      </c>
      <c r="AB377" s="108">
        <v>289.39</v>
      </c>
      <c r="AC377" s="108"/>
      <c r="AD377" s="108"/>
      <c r="AE377" s="108"/>
      <c r="AF377" s="108"/>
      <c r="AG377" s="298">
        <v>25</v>
      </c>
      <c r="AH377" s="109"/>
    </row>
    <row r="378" spans="1:34" s="130" customFormat="1" ht="12.75" hidden="1" outlineLevel="1">
      <c r="A378" s="10"/>
      <c r="B378" s="49"/>
      <c r="C378" s="96">
        <f>Z374*1000-C377</f>
        <v>1345843.1</v>
      </c>
      <c r="D378" s="120"/>
      <c r="E378" s="81">
        <v>4</v>
      </c>
      <c r="F378" s="113"/>
      <c r="G378" s="116">
        <f>3839.76/22</f>
        <v>174.53454545454545</v>
      </c>
      <c r="H378" s="112">
        <f>SUM(I378:P378)</f>
        <v>550.526</v>
      </c>
      <c r="I378" s="110"/>
      <c r="J378" s="108">
        <v>350</v>
      </c>
      <c r="K378" s="108"/>
      <c r="L378" s="108">
        <v>100</v>
      </c>
      <c r="M378" s="108">
        <v>50</v>
      </c>
      <c r="N378" s="108">
        <v>23</v>
      </c>
      <c r="O378" s="109">
        <v>27.526</v>
      </c>
      <c r="P378" s="109"/>
      <c r="Q378" s="112">
        <f t="shared" si="287"/>
        <v>779.24</v>
      </c>
      <c r="R378" s="108">
        <v>300</v>
      </c>
      <c r="S378" s="108">
        <v>414.24</v>
      </c>
      <c r="T378" s="108"/>
      <c r="U378" s="108">
        <v>65</v>
      </c>
      <c r="V378" s="108"/>
      <c r="W378" s="108"/>
      <c r="X378" s="109"/>
      <c r="Y378" s="109"/>
      <c r="Z378" s="112">
        <f t="shared" si="288"/>
        <v>804.24</v>
      </c>
      <c r="AA378" s="108">
        <v>300</v>
      </c>
      <c r="AB378" s="108">
        <v>414.24</v>
      </c>
      <c r="AC378" s="108"/>
      <c r="AD378" s="108">
        <v>65</v>
      </c>
      <c r="AE378" s="108"/>
      <c r="AF378" s="108"/>
      <c r="AG378" s="298">
        <v>25</v>
      </c>
      <c r="AH378" s="109"/>
    </row>
    <row r="379" spans="1:34" s="130" customFormat="1" ht="12.75" hidden="1" outlineLevel="1">
      <c r="A379" s="10"/>
      <c r="B379" s="49"/>
      <c r="C379" s="239" t="s">
        <v>1016</v>
      </c>
      <c r="D379" s="120"/>
      <c r="E379" s="81">
        <v>5</v>
      </c>
      <c r="F379" s="113"/>
      <c r="G379" s="116">
        <f>1919.88/22</f>
        <v>87.26727272727273</v>
      </c>
      <c r="H379" s="112">
        <f>SUM(I379:P379)</f>
        <v>189.473</v>
      </c>
      <c r="I379" s="110">
        <v>150</v>
      </c>
      <c r="J379" s="108"/>
      <c r="K379" s="108"/>
      <c r="L379" s="108"/>
      <c r="M379" s="108">
        <v>30</v>
      </c>
      <c r="N379" s="108"/>
      <c r="O379" s="109">
        <v>9.473</v>
      </c>
      <c r="P379" s="109"/>
      <c r="Q379" s="112">
        <f t="shared" si="287"/>
        <v>618.5</v>
      </c>
      <c r="R379" s="108">
        <v>150</v>
      </c>
      <c r="S379" s="108">
        <v>468.5</v>
      </c>
      <c r="T379" s="108"/>
      <c r="U379" s="108"/>
      <c r="V379" s="108"/>
      <c r="W379" s="108"/>
      <c r="X379" s="109"/>
      <c r="Y379" s="109"/>
      <c r="Z379" s="112">
        <f t="shared" si="288"/>
        <v>647.513</v>
      </c>
      <c r="AA379" s="108">
        <v>150</v>
      </c>
      <c r="AB379" s="108">
        <v>468.5</v>
      </c>
      <c r="AC379" s="108"/>
      <c r="AD379" s="108"/>
      <c r="AE379" s="108"/>
      <c r="AF379" s="108"/>
      <c r="AG379" s="298">
        <v>29.013</v>
      </c>
      <c r="AH379" s="109"/>
    </row>
    <row r="380" spans="1:34" s="130" customFormat="1" ht="12.75" hidden="1" outlineLevel="1">
      <c r="A380" s="10"/>
      <c r="B380" s="49"/>
      <c r="C380" s="239" t="s">
        <v>996</v>
      </c>
      <c r="D380" s="120"/>
      <c r="E380" s="81">
        <v>6</v>
      </c>
      <c r="F380" s="113"/>
      <c r="G380" s="116">
        <f>1160/22</f>
        <v>52.72727272727273</v>
      </c>
      <c r="H380" s="112"/>
      <c r="I380" s="110"/>
      <c r="J380" s="108"/>
      <c r="K380" s="108"/>
      <c r="L380" s="108"/>
      <c r="M380" s="108"/>
      <c r="N380" s="108"/>
      <c r="O380" s="109"/>
      <c r="P380" s="109"/>
      <c r="Q380" s="169">
        <f t="shared" si="287"/>
        <v>436.36699999999996</v>
      </c>
      <c r="R380" s="108">
        <v>101.607</v>
      </c>
      <c r="S380" s="108">
        <v>299.76</v>
      </c>
      <c r="T380" s="108"/>
      <c r="U380" s="108"/>
      <c r="V380" s="108"/>
      <c r="W380" s="108"/>
      <c r="X380" s="109">
        <v>35</v>
      </c>
      <c r="Y380" s="109"/>
      <c r="Z380" s="112">
        <f t="shared" si="288"/>
        <v>332.354</v>
      </c>
      <c r="AA380" s="299">
        <f>101.607-56.253</f>
        <v>45.354</v>
      </c>
      <c r="AB380" s="299">
        <f>299.76-239.76</f>
        <v>60</v>
      </c>
      <c r="AC380" s="108"/>
      <c r="AD380" s="108"/>
      <c r="AE380" s="108"/>
      <c r="AF380" s="108"/>
      <c r="AG380" s="109">
        <v>35</v>
      </c>
      <c r="AH380" s="298">
        <v>192</v>
      </c>
    </row>
    <row r="381" spans="1:34" s="129" customFormat="1" ht="12.75" hidden="1" outlineLevel="1">
      <c r="A381" s="98"/>
      <c r="B381" s="46"/>
      <c r="C381" s="46"/>
      <c r="D381" s="46"/>
      <c r="E381" s="81" t="s">
        <v>471</v>
      </c>
      <c r="F381" s="126"/>
      <c r="G381" s="81"/>
      <c r="H381" s="99">
        <f>H374/$H$374</f>
        <v>1</v>
      </c>
      <c r="I381" s="99">
        <f aca="true" t="shared" si="289" ref="I381:O381">I374/$H$374</f>
        <v>0.15993708621155076</v>
      </c>
      <c r="J381" s="99">
        <f t="shared" si="289"/>
        <v>0.30817145879786606</v>
      </c>
      <c r="K381" s="99">
        <f t="shared" si="289"/>
        <v>0</v>
      </c>
      <c r="L381" s="99">
        <f t="shared" si="289"/>
        <v>0.2730633179221598</v>
      </c>
      <c r="M381" s="99">
        <f t="shared" si="289"/>
        <v>0.20284703617074729</v>
      </c>
      <c r="N381" s="99">
        <f t="shared" si="289"/>
        <v>0.005981386964009215</v>
      </c>
      <c r="O381" s="99">
        <f t="shared" si="289"/>
        <v>0.04999971393366695</v>
      </c>
      <c r="P381" s="99">
        <f>P374/$H$319</f>
        <v>0</v>
      </c>
      <c r="Q381" s="99">
        <f>Q374/$Q$374</f>
        <v>1</v>
      </c>
      <c r="R381" s="99">
        <f aca="true" t="shared" si="290" ref="R381:Y381">R374/$Q$374</f>
        <v>0.28100682761608686</v>
      </c>
      <c r="S381" s="99">
        <f t="shared" si="290"/>
        <v>0.5455331308679295</v>
      </c>
      <c r="T381" s="99">
        <f t="shared" si="290"/>
        <v>0</v>
      </c>
      <c r="U381" s="99">
        <f t="shared" si="290"/>
        <v>0.04160960516125542</v>
      </c>
      <c r="V381" s="99">
        <f t="shared" si="290"/>
        <v>0.023405402903206172</v>
      </c>
      <c r="W381" s="99">
        <f t="shared" si="290"/>
        <v>0.09362161161282469</v>
      </c>
      <c r="X381" s="99">
        <f t="shared" si="290"/>
        <v>0.014823421838697243</v>
      </c>
      <c r="Y381" s="99">
        <f t="shared" si="290"/>
        <v>0</v>
      </c>
      <c r="Z381" s="99">
        <f>Z374/$Q$374</f>
        <v>0.9999999999999999</v>
      </c>
      <c r="AA381" s="99">
        <f aca="true" t="shared" si="291" ref="AA381:AH381">AA374/$Q$374</f>
        <v>0.2663776706214862</v>
      </c>
      <c r="AB381" s="99">
        <f t="shared" si="291"/>
        <v>0.4831811375337882</v>
      </c>
      <c r="AC381" s="99">
        <f t="shared" si="291"/>
        <v>0</v>
      </c>
      <c r="AD381" s="99">
        <f t="shared" si="291"/>
        <v>0.04160960516125542</v>
      </c>
      <c r="AE381" s="99">
        <f t="shared" si="291"/>
        <v>0.023405402903206172</v>
      </c>
      <c r="AF381" s="99">
        <f t="shared" si="291"/>
        <v>0.09362161161282469</v>
      </c>
      <c r="AG381" s="99">
        <f t="shared" si="291"/>
        <v>0.04187304597393262</v>
      </c>
      <c r="AH381" s="99">
        <f t="shared" si="291"/>
        <v>0.0499315261935065</v>
      </c>
    </row>
    <row r="382" spans="1:34" s="129" customFormat="1" ht="12" customHeight="1" hidden="1" outlineLevel="1">
      <c r="A382" s="98"/>
      <c r="B382" s="46"/>
      <c r="C382" s="46"/>
      <c r="D382" s="46"/>
      <c r="E382" s="81" t="s">
        <v>472</v>
      </c>
      <c r="F382" s="126"/>
      <c r="G382" s="81"/>
      <c r="H382" s="99"/>
      <c r="I382" s="99"/>
      <c r="J382" s="99"/>
      <c r="K382" s="99"/>
      <c r="L382" s="99"/>
      <c r="M382" s="99"/>
      <c r="N382" s="99"/>
      <c r="O382" s="99"/>
      <c r="P382" s="99"/>
      <c r="Q382" s="161">
        <f aca="true" t="shared" si="292" ref="Q382:Y382">Q374-H374</f>
        <v>0.004000000000814907</v>
      </c>
      <c r="R382" s="161">
        <f t="shared" si="292"/>
        <v>465.54600000000005</v>
      </c>
      <c r="S382" s="161">
        <f t="shared" si="292"/>
        <v>912.7200000000003</v>
      </c>
      <c r="T382" s="161">
        <f t="shared" si="292"/>
        <v>0</v>
      </c>
      <c r="U382" s="161">
        <f t="shared" si="292"/>
        <v>-890</v>
      </c>
      <c r="V382" s="161">
        <f t="shared" si="292"/>
        <v>-690</v>
      </c>
      <c r="W382" s="161">
        <f t="shared" si="292"/>
        <v>337</v>
      </c>
      <c r="X382" s="161">
        <f t="shared" si="292"/>
        <v>-135.26200000000003</v>
      </c>
      <c r="Y382" s="161">
        <f t="shared" si="292"/>
        <v>0</v>
      </c>
      <c r="Z382" s="161">
        <f aca="true" t="shared" si="293" ref="Z382:AH382">Z374-Q374</f>
        <v>0</v>
      </c>
      <c r="AA382" s="161">
        <f t="shared" si="293"/>
        <v>-56.253000000000156</v>
      </c>
      <c r="AB382" s="161">
        <f t="shared" si="293"/>
        <v>-239.76000000000022</v>
      </c>
      <c r="AC382" s="161">
        <f t="shared" si="293"/>
        <v>0</v>
      </c>
      <c r="AD382" s="161">
        <f t="shared" si="293"/>
        <v>0</v>
      </c>
      <c r="AE382" s="161">
        <f t="shared" si="293"/>
        <v>0</v>
      </c>
      <c r="AF382" s="161">
        <f t="shared" si="293"/>
        <v>0</v>
      </c>
      <c r="AG382" s="161">
        <f t="shared" si="293"/>
        <v>104.013</v>
      </c>
      <c r="AH382" s="161">
        <f t="shared" si="293"/>
        <v>192</v>
      </c>
    </row>
    <row r="383" spans="1:34" s="130" customFormat="1" ht="15" customHeight="1" hidden="1" outlineLevel="1">
      <c r="A383" s="10"/>
      <c r="B383" s="46"/>
      <c r="C383" s="46"/>
      <c r="D383" s="46"/>
      <c r="E383" s="43" t="s">
        <v>473</v>
      </c>
      <c r="F383" s="44"/>
      <c r="G383" s="43"/>
      <c r="H383" s="293"/>
      <c r="I383" s="294"/>
      <c r="J383" s="293"/>
      <c r="K383" s="293"/>
      <c r="L383" s="293"/>
      <c r="M383" s="293"/>
      <c r="N383" s="293"/>
      <c r="O383" s="293"/>
      <c r="P383" s="293"/>
      <c r="Q383" s="295" t="s">
        <v>1017</v>
      </c>
      <c r="R383" s="296"/>
      <c r="S383" s="136"/>
      <c r="T383" s="296"/>
      <c r="U383" s="296"/>
      <c r="V383" s="296"/>
      <c r="W383" s="296"/>
      <c r="X383" s="296"/>
      <c r="Y383" s="296"/>
      <c r="Z383" s="297"/>
      <c r="AA383" s="297"/>
      <c r="AB383" s="297"/>
      <c r="AC383" s="297"/>
      <c r="AD383" s="297"/>
      <c r="AE383" s="297"/>
      <c r="AF383" s="297"/>
      <c r="AG383" s="297"/>
      <c r="AH383" s="297"/>
    </row>
    <row r="384" spans="20:30" ht="12.75">
      <c r="T384" s="1267" t="s">
        <v>138</v>
      </c>
      <c r="U384" s="1267"/>
      <c r="V384" s="1267"/>
      <c r="W384" s="1267"/>
      <c r="X384" s="1267"/>
      <c r="AD384" s="110"/>
    </row>
    <row r="385" spans="8:33" ht="12.75">
      <c r="H385" s="49">
        <f>+H360*100/$H$359</f>
        <v>27.487008166295475</v>
      </c>
      <c r="I385" s="262">
        <f>+Q360*100/$Q$359</f>
        <v>47.10838901262064</v>
      </c>
      <c r="J385" s="49">
        <f>I360/F360</f>
        <v>1.1500000000000001</v>
      </c>
      <c r="Z385" s="306"/>
      <c r="AA385" s="306"/>
      <c r="AB385" s="306"/>
      <c r="AC385" s="306"/>
      <c r="AD385" s="306"/>
      <c r="AE385" s="306"/>
      <c r="AF385" s="306"/>
      <c r="AG385" s="306"/>
    </row>
    <row r="386" spans="8:23" ht="12.75">
      <c r="H386" s="49">
        <f>+H361*100/$H$359</f>
        <v>24.443207126948774</v>
      </c>
      <c r="I386" s="262">
        <f>+Q361*100/$Q$359</f>
        <v>11.117297698589459</v>
      </c>
      <c r="J386" s="49">
        <f>I361/F361</f>
        <v>1.7333333333333334</v>
      </c>
      <c r="R386" s="360"/>
      <c r="U386" s="360"/>
      <c r="W386" s="296"/>
    </row>
    <row r="387" spans="8:23" ht="12.75">
      <c r="H387" s="49">
        <f>+H362*100/$H$359</f>
        <v>28.80475129918337</v>
      </c>
      <c r="I387" s="262">
        <f>+Q362*100/$Q$359</f>
        <v>22.175204157386787</v>
      </c>
      <c r="J387" s="49">
        <f>I362/F362</f>
        <v>1.3499999999999999</v>
      </c>
      <c r="R387" s="360"/>
      <c r="U387" s="360"/>
      <c r="W387" s="296"/>
    </row>
    <row r="388" spans="8:23" ht="12.75">
      <c r="H388" s="49">
        <f>+H363*100/$H$359</f>
        <v>8.834446919079436</v>
      </c>
      <c r="J388" s="49">
        <f>I363/F363</f>
        <v>0.63</v>
      </c>
      <c r="R388" s="360"/>
      <c r="U388" s="360"/>
      <c r="W388" s="296"/>
    </row>
    <row r="389" spans="8:23" ht="12.75">
      <c r="H389" s="49">
        <f>+H364*100/$H$359</f>
        <v>10.430586488492947</v>
      </c>
      <c r="J389" s="49">
        <f>I364/F364</f>
        <v>0.3</v>
      </c>
      <c r="U389" s="360"/>
      <c r="W389" s="296"/>
    </row>
    <row r="390" spans="21:23" ht="12.75">
      <c r="U390" s="360"/>
      <c r="W390" s="296"/>
    </row>
    <row r="391" spans="21:23" ht="12.75">
      <c r="U391" s="360"/>
      <c r="W391" s="296"/>
    </row>
    <row r="392" spans="21:23" ht="12.75">
      <c r="U392" s="360"/>
      <c r="W392" s="296"/>
    </row>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sheetData>
  <sheetProtection/>
  <mergeCells count="1">
    <mergeCell ref="T384:X384"/>
  </mergeCells>
  <printOptions gridLines="1"/>
  <pageMargins left="0.75" right="0.75" top="0.67" bottom="0.48" header="0.28" footer="0.23"/>
  <pageSetup horizontalDpi="1200" verticalDpi="1200" orientation="landscape" paperSize="9" r:id="rId3"/>
  <headerFooter alignWithMargins="0">
    <oddHeader>&amp;CPATTO DEL FORTORE
SUBORDINATE BANCARIE</oddHeader>
    <oddFooter>&amp;CPagina &amp;P</oddFooter>
  </headerFooter>
  <colBreaks count="4" manualBreakCount="4">
    <brk id="25" max="65535" man="1"/>
    <brk id="34" max="65535" man="1"/>
    <brk id="43" max="65535" man="1"/>
    <brk id="73" max="65535" man="1"/>
  </colBreaks>
  <legacyDrawing r:id="rId2"/>
</worksheet>
</file>

<file path=xl/worksheets/sheet5.xml><?xml version="1.0" encoding="utf-8"?>
<worksheet xmlns="http://schemas.openxmlformats.org/spreadsheetml/2006/main" xmlns:r="http://schemas.openxmlformats.org/officeDocument/2006/relationships">
  <dimension ref="A1:Y26"/>
  <sheetViews>
    <sheetView zoomScalePageLayoutView="0" workbookViewId="0" topLeftCell="A1">
      <pane xSplit="3" ySplit="1" topLeftCell="O5" activePane="bottomRight" state="frozen"/>
      <selection pane="topLeft" activeCell="A1" sqref="A1"/>
      <selection pane="topRight" activeCell="D1" sqref="D1"/>
      <selection pane="bottomLeft" activeCell="A2" sqref="A2"/>
      <selection pane="bottomRight" activeCell="R9" sqref="R9"/>
    </sheetView>
  </sheetViews>
  <sheetFormatPr defaultColWidth="10.421875" defaultRowHeight="12.75"/>
  <cols>
    <col min="1" max="1" width="3.00390625" style="960" customWidth="1"/>
    <col min="2" max="2" width="19.140625" style="961" customWidth="1"/>
    <col min="3" max="3" width="9.00390625" style="962" customWidth="1"/>
    <col min="4" max="4" width="10.57421875" style="962" bestFit="1" customWidth="1"/>
    <col min="5" max="5" width="10.28125" style="962" bestFit="1" customWidth="1"/>
    <col min="6" max="6" width="10.8515625" style="961" bestFit="1" customWidth="1"/>
    <col min="7" max="7" width="10.57421875" style="961" bestFit="1" customWidth="1"/>
    <col min="8" max="8" width="10.8515625" style="961" bestFit="1" customWidth="1"/>
    <col min="9" max="9" width="7.28125" style="961" customWidth="1"/>
    <col min="10" max="10" width="9.00390625" style="961" bestFit="1" customWidth="1"/>
    <col min="11" max="11" width="11.140625" style="961" bestFit="1" customWidth="1"/>
    <col min="12" max="12" width="10.00390625" style="961" bestFit="1" customWidth="1"/>
    <col min="13" max="14" width="10.57421875" style="961" bestFit="1" customWidth="1"/>
    <col min="15" max="15" width="10.8515625" style="961" bestFit="1" customWidth="1"/>
    <col min="16" max="16" width="10.57421875" style="961" bestFit="1" customWidth="1"/>
    <col min="17" max="17" width="6.28125" style="961" bestFit="1" customWidth="1"/>
    <col min="18" max="18" width="56.7109375" style="961" customWidth="1"/>
    <col min="19" max="19" width="11.00390625" style="961" bestFit="1" customWidth="1"/>
    <col min="20" max="20" width="19.57421875" style="961" bestFit="1" customWidth="1"/>
    <col min="21" max="21" width="7.140625" style="961" bestFit="1" customWidth="1"/>
    <col min="22" max="22" width="3.28125" style="961" bestFit="1" customWidth="1"/>
    <col min="23" max="23" width="12.140625" style="961" bestFit="1" customWidth="1"/>
    <col min="24" max="24" width="4.28125" style="961" bestFit="1" customWidth="1"/>
    <col min="25" max="25" width="5.57421875" style="961" bestFit="1" customWidth="1"/>
    <col min="26" max="16384" width="10.421875" style="961" customWidth="1"/>
  </cols>
  <sheetData>
    <row r="1" spans="1:25" s="915" customFormat="1" ht="72">
      <c r="A1" s="906" t="s">
        <v>665</v>
      </c>
      <c r="B1" s="907" t="s">
        <v>771</v>
      </c>
      <c r="C1" s="908" t="s">
        <v>772</v>
      </c>
      <c r="D1" s="909" t="s">
        <v>161</v>
      </c>
      <c r="E1" s="909" t="s">
        <v>779</v>
      </c>
      <c r="F1" s="910" t="s">
        <v>127</v>
      </c>
      <c r="G1" s="910" t="s">
        <v>128</v>
      </c>
      <c r="H1" s="910" t="s">
        <v>129</v>
      </c>
      <c r="I1" s="910" t="s">
        <v>132</v>
      </c>
      <c r="J1" s="910" t="s">
        <v>1416</v>
      </c>
      <c r="K1" s="910" t="s">
        <v>130</v>
      </c>
      <c r="L1" s="910" t="s">
        <v>216</v>
      </c>
      <c r="M1" s="910" t="s">
        <v>136</v>
      </c>
      <c r="N1" s="910" t="s">
        <v>133</v>
      </c>
      <c r="O1" s="910" t="s">
        <v>134</v>
      </c>
      <c r="P1" s="910" t="s">
        <v>131</v>
      </c>
      <c r="Q1" s="910" t="s">
        <v>135</v>
      </c>
      <c r="R1" s="906" t="s">
        <v>1101</v>
      </c>
      <c r="S1" s="911" t="s">
        <v>1176</v>
      </c>
      <c r="T1" s="912" t="s">
        <v>267</v>
      </c>
      <c r="U1" s="913" t="s">
        <v>783</v>
      </c>
      <c r="V1" s="913" t="s">
        <v>784</v>
      </c>
      <c r="W1" s="913" t="s">
        <v>785</v>
      </c>
      <c r="X1" s="913" t="s">
        <v>786</v>
      </c>
      <c r="Y1" s="914" t="s">
        <v>787</v>
      </c>
    </row>
    <row r="2" spans="1:25" s="915" customFormat="1" ht="29.25">
      <c r="A2" s="916">
        <v>3</v>
      </c>
      <c r="B2" s="917" t="s">
        <v>791</v>
      </c>
      <c r="C2" s="918" t="s">
        <v>792</v>
      </c>
      <c r="D2" s="919">
        <v>3846067.41</v>
      </c>
      <c r="E2" s="919">
        <v>608998.4820000001</v>
      </c>
      <c r="F2" s="920">
        <v>4455065.892</v>
      </c>
      <c r="G2" s="920" t="e">
        <f>DATI!#REF!</f>
        <v>#REF!</v>
      </c>
      <c r="H2" s="920">
        <v>1814069.0809999998</v>
      </c>
      <c r="I2" s="921" t="e">
        <f aca="true" t="shared" si="0" ref="I2:I16">G2/F2</f>
        <v>#REF!</v>
      </c>
      <c r="J2" s="922" t="e">
        <f>F2*0.6-G2</f>
        <v>#REF!</v>
      </c>
      <c r="K2" s="920">
        <v>2500000</v>
      </c>
      <c r="L2" s="923">
        <v>750000</v>
      </c>
      <c r="M2" s="923">
        <v>1072904.95446875</v>
      </c>
      <c r="N2" s="923">
        <v>1822904.95446875</v>
      </c>
      <c r="O2" s="923">
        <v>1716647.9271500001</v>
      </c>
      <c r="P2" s="920">
        <v>783352.0728499999</v>
      </c>
      <c r="Q2" s="921">
        <v>0.6866591708600001</v>
      </c>
      <c r="R2" s="924" t="s">
        <v>1172</v>
      </c>
      <c r="S2" s="925" t="s">
        <v>1184</v>
      </c>
      <c r="T2" s="926" t="s">
        <v>1143</v>
      </c>
      <c r="U2" s="927" t="s">
        <v>797</v>
      </c>
      <c r="V2" s="927" t="s">
        <v>798</v>
      </c>
      <c r="W2" s="927" t="s">
        <v>799</v>
      </c>
      <c r="X2" s="927">
        <v>22</v>
      </c>
      <c r="Y2" s="927">
        <v>70124</v>
      </c>
    </row>
    <row r="3" spans="1:25" s="915" customFormat="1" ht="9.75">
      <c r="A3" s="916">
        <v>4</v>
      </c>
      <c r="B3" s="917" t="s">
        <v>882</v>
      </c>
      <c r="C3" s="918" t="s">
        <v>525</v>
      </c>
      <c r="D3" s="919">
        <v>1730560</v>
      </c>
      <c r="E3" s="919">
        <v>212040</v>
      </c>
      <c r="F3" s="920">
        <v>1942600</v>
      </c>
      <c r="G3" s="920" t="e">
        <f>DATI!#REF!</f>
        <v>#REF!</v>
      </c>
      <c r="H3" s="920">
        <v>1227821.1885600002</v>
      </c>
      <c r="I3" s="921" t="e">
        <f t="shared" si="0"/>
        <v>#REF!</v>
      </c>
      <c r="J3" s="922" t="e">
        <f>F3*0.6-G3</f>
        <v>#REF!</v>
      </c>
      <c r="K3" s="920">
        <v>1262690</v>
      </c>
      <c r="L3" s="923">
        <v>378807</v>
      </c>
      <c r="M3" s="923">
        <v>233624.8083975</v>
      </c>
      <c r="N3" s="923">
        <v>612431.8083975</v>
      </c>
      <c r="O3" s="923">
        <v>373799.69343600003</v>
      </c>
      <c r="P3" s="920">
        <v>888890.306564</v>
      </c>
      <c r="Q3" s="928">
        <v>0.2960344133841244</v>
      </c>
      <c r="R3" s="924" t="s">
        <v>1221</v>
      </c>
      <c r="S3" s="925" t="s">
        <v>1184</v>
      </c>
      <c r="T3" s="926" t="s">
        <v>380</v>
      </c>
      <c r="U3" s="927" t="s">
        <v>797</v>
      </c>
      <c r="V3" s="927" t="s">
        <v>798</v>
      </c>
      <c r="W3" s="927" t="s">
        <v>799</v>
      </c>
      <c r="X3" s="927">
        <v>22</v>
      </c>
      <c r="Y3" s="927">
        <v>70100</v>
      </c>
    </row>
    <row r="4" spans="1:25" s="915" customFormat="1" ht="29.25">
      <c r="A4" s="916">
        <v>8</v>
      </c>
      <c r="B4" s="917" t="s">
        <v>857</v>
      </c>
      <c r="C4" s="918" t="s">
        <v>858</v>
      </c>
      <c r="D4" s="919">
        <v>2422000</v>
      </c>
      <c r="E4" s="919">
        <v>429600</v>
      </c>
      <c r="F4" s="920">
        <v>2851600</v>
      </c>
      <c r="G4" s="920" t="e">
        <f>DATI!#REF!</f>
        <v>#REF!</v>
      </c>
      <c r="H4" s="920">
        <v>987764.7020000003</v>
      </c>
      <c r="I4" s="921" t="e">
        <f t="shared" si="0"/>
        <v>#REF!</v>
      </c>
      <c r="J4" s="922" t="s">
        <v>480</v>
      </c>
      <c r="K4" s="920">
        <v>1825024</v>
      </c>
      <c r="L4" s="923">
        <v>547507.2</v>
      </c>
      <c r="M4" s="923">
        <v>755777.5380625001</v>
      </c>
      <c r="N4" s="923">
        <v>1303284.7380625</v>
      </c>
      <c r="O4" s="923">
        <v>1209244.0609</v>
      </c>
      <c r="P4" s="920">
        <v>615779.9391000001</v>
      </c>
      <c r="Q4" s="921">
        <v>0.6625907719021776</v>
      </c>
      <c r="R4" s="924" t="s">
        <v>408</v>
      </c>
      <c r="S4" s="925" t="s">
        <v>1182</v>
      </c>
      <c r="T4" s="926" t="s">
        <v>1404</v>
      </c>
      <c r="U4" s="927" t="s">
        <v>797</v>
      </c>
      <c r="V4" s="927" t="s">
        <v>798</v>
      </c>
      <c r="W4" s="927" t="s">
        <v>860</v>
      </c>
      <c r="X4" s="927">
        <v>228</v>
      </c>
      <c r="Y4" s="929" t="s">
        <v>861</v>
      </c>
    </row>
    <row r="5" spans="1:25" s="915" customFormat="1" ht="19.5">
      <c r="A5" s="916">
        <v>9</v>
      </c>
      <c r="B5" s="917" t="s">
        <v>864</v>
      </c>
      <c r="C5" s="918" t="s">
        <v>865</v>
      </c>
      <c r="D5" s="919">
        <v>1757072</v>
      </c>
      <c r="E5" s="919">
        <v>252070.4</v>
      </c>
      <c r="F5" s="920">
        <v>2009142.4</v>
      </c>
      <c r="G5" s="920" t="e">
        <f>DATI!#REF!</f>
        <v>#REF!</v>
      </c>
      <c r="H5" s="920">
        <v>952886.21</v>
      </c>
      <c r="I5" s="930" t="e">
        <f t="shared" si="0"/>
        <v>#REF!</v>
      </c>
      <c r="J5" s="922" t="e">
        <f>F5*0.6-G5</f>
        <v>#REF!</v>
      </c>
      <c r="K5" s="920">
        <v>1305942.56</v>
      </c>
      <c r="L5" s="923">
        <v>391782.77</v>
      </c>
      <c r="M5" s="923">
        <v>429104.0834375</v>
      </c>
      <c r="N5" s="923">
        <v>820886.8534375</v>
      </c>
      <c r="O5" s="923">
        <v>686566.5335</v>
      </c>
      <c r="P5" s="920">
        <v>619376.0265</v>
      </c>
      <c r="Q5" s="928">
        <v>0.5257249089883402</v>
      </c>
      <c r="R5" s="924" t="s">
        <v>1309</v>
      </c>
      <c r="S5" s="925" t="s">
        <v>1185</v>
      </c>
      <c r="T5" s="926" t="s">
        <v>486</v>
      </c>
      <c r="U5" s="927" t="s">
        <v>797</v>
      </c>
      <c r="V5" s="927" t="s">
        <v>798</v>
      </c>
      <c r="W5" s="927" t="s">
        <v>1007</v>
      </c>
      <c r="X5" s="927">
        <v>19</v>
      </c>
      <c r="Y5" s="927">
        <v>70126</v>
      </c>
    </row>
    <row r="6" spans="1:25" s="915" customFormat="1" ht="19.5">
      <c r="A6" s="916">
        <v>10</v>
      </c>
      <c r="B6" s="917" t="s">
        <v>851</v>
      </c>
      <c r="C6" s="918" t="s">
        <v>852</v>
      </c>
      <c r="D6" s="919">
        <v>719530</v>
      </c>
      <c r="E6" s="919">
        <v>143906</v>
      </c>
      <c r="F6" s="920">
        <v>863436</v>
      </c>
      <c r="G6" s="920" t="e">
        <f>DATI!#REF!</f>
        <v>#REF!</v>
      </c>
      <c r="H6" s="920">
        <v>435619.64</v>
      </c>
      <c r="I6" s="930" t="e">
        <f t="shared" si="0"/>
        <v>#REF!</v>
      </c>
      <c r="J6" s="922" t="e">
        <f>F6*0.6-G6</f>
        <v>#REF!</v>
      </c>
      <c r="K6" s="920">
        <v>561233.4</v>
      </c>
      <c r="L6" s="923">
        <v>168370.02</v>
      </c>
      <c r="M6" s="923">
        <v>130635.87875</v>
      </c>
      <c r="N6" s="923">
        <v>299005.89875</v>
      </c>
      <c r="O6" s="923">
        <v>209017.40600000002</v>
      </c>
      <c r="P6" s="920">
        <v>352215.994</v>
      </c>
      <c r="Q6" s="928">
        <v>0.3724251015709329</v>
      </c>
      <c r="R6" s="924" t="s">
        <v>437</v>
      </c>
      <c r="S6" s="925" t="s">
        <v>436</v>
      </c>
      <c r="T6" s="926" t="s">
        <v>1339</v>
      </c>
      <c r="U6" s="927" t="s">
        <v>797</v>
      </c>
      <c r="V6" s="927" t="s">
        <v>798</v>
      </c>
      <c r="W6" s="927" t="s">
        <v>1310</v>
      </c>
      <c r="X6" s="931">
        <v>253</v>
      </c>
      <c r="Y6" s="927">
        <v>70123</v>
      </c>
    </row>
    <row r="7" spans="1:25" s="915" customFormat="1" ht="27">
      <c r="A7" s="916">
        <v>12</v>
      </c>
      <c r="B7" s="917" t="s">
        <v>907</v>
      </c>
      <c r="C7" s="918" t="s">
        <v>908</v>
      </c>
      <c r="D7" s="919">
        <v>264052.5</v>
      </c>
      <c r="E7" s="919">
        <v>41291.5</v>
      </c>
      <c r="F7" s="920">
        <v>305344</v>
      </c>
      <c r="G7" s="920" t="e">
        <f>DATI!#REF!</f>
        <v>#REF!</v>
      </c>
      <c r="H7" s="920">
        <v>172847.63</v>
      </c>
      <c r="I7" s="932" t="e">
        <f t="shared" si="0"/>
        <v>#REF!</v>
      </c>
      <c r="J7" s="922" t="e">
        <f>F7*0.6-G7</f>
        <v>#REF!</v>
      </c>
      <c r="K7" s="920">
        <v>152672</v>
      </c>
      <c r="L7" s="923">
        <v>45801.6</v>
      </c>
      <c r="M7" s="923">
        <v>41405.125625</v>
      </c>
      <c r="N7" s="923">
        <v>87206.72562499999</v>
      </c>
      <c r="O7" s="923">
        <v>66248.185</v>
      </c>
      <c r="P7" s="920">
        <v>86423.815</v>
      </c>
      <c r="Q7" s="928">
        <v>0.433924917470132</v>
      </c>
      <c r="R7" s="924" t="s">
        <v>587</v>
      </c>
      <c r="S7" s="933" t="s">
        <v>409</v>
      </c>
      <c r="T7" s="926" t="s">
        <v>1400</v>
      </c>
      <c r="U7" s="927" t="s">
        <v>845</v>
      </c>
      <c r="V7" s="927" t="s">
        <v>798</v>
      </c>
      <c r="W7" s="927" t="s">
        <v>1158</v>
      </c>
      <c r="X7" s="927">
        <v>50</v>
      </c>
      <c r="Y7" s="927">
        <v>70022</v>
      </c>
    </row>
    <row r="8" spans="1:25" s="915" customFormat="1" ht="36">
      <c r="A8" s="934">
        <v>14</v>
      </c>
      <c r="B8" s="917" t="s">
        <v>869</v>
      </c>
      <c r="C8" s="918" t="s">
        <v>483</v>
      </c>
      <c r="D8" s="919">
        <v>3538950</v>
      </c>
      <c r="E8" s="919">
        <v>527390</v>
      </c>
      <c r="F8" s="920">
        <v>4066340</v>
      </c>
      <c r="G8" s="920" t="e">
        <f>DATI!#REF!</f>
        <v>#REF!</v>
      </c>
      <c r="H8" s="920">
        <v>736030.21</v>
      </c>
      <c r="I8" s="921" t="e">
        <f t="shared" si="0"/>
        <v>#REF!</v>
      </c>
      <c r="J8" s="922" t="s">
        <v>480</v>
      </c>
      <c r="K8" s="920">
        <v>2500000</v>
      </c>
      <c r="L8" s="923">
        <v>750000</v>
      </c>
      <c r="M8" s="923">
        <v>1222752.5415625002</v>
      </c>
      <c r="N8" s="923">
        <v>1972752.5415625002</v>
      </c>
      <c r="O8" s="923">
        <v>1956404.0665000002</v>
      </c>
      <c r="P8" s="920">
        <v>543595.9334999998</v>
      </c>
      <c r="Q8" s="921">
        <v>0.7825616266000001</v>
      </c>
      <c r="R8" s="924" t="s">
        <v>374</v>
      </c>
      <c r="S8" s="925" t="s">
        <v>1177</v>
      </c>
      <c r="T8" s="926" t="s">
        <v>1126</v>
      </c>
      <c r="U8" s="927" t="s">
        <v>797</v>
      </c>
      <c r="V8" s="927" t="s">
        <v>798</v>
      </c>
      <c r="W8" s="927" t="s">
        <v>872</v>
      </c>
      <c r="X8" s="931" t="s">
        <v>873</v>
      </c>
      <c r="Y8" s="927">
        <v>70121</v>
      </c>
    </row>
    <row r="9" spans="1:25" s="915" customFormat="1" ht="36">
      <c r="A9" s="916">
        <v>15</v>
      </c>
      <c r="B9" s="917" t="s">
        <v>1142</v>
      </c>
      <c r="C9" s="918" t="s">
        <v>878</v>
      </c>
      <c r="D9" s="919">
        <v>996480</v>
      </c>
      <c r="E9" s="919">
        <v>162864</v>
      </c>
      <c r="F9" s="920">
        <v>1159344</v>
      </c>
      <c r="G9" s="920" t="e">
        <f>DATI!#REF!</f>
        <v>#REF!</v>
      </c>
      <c r="H9" s="920">
        <v>792884.31</v>
      </c>
      <c r="I9" s="932" t="e">
        <f t="shared" si="0"/>
        <v>#REF!</v>
      </c>
      <c r="J9" s="922" t="e">
        <f>F9*0.6-G9</f>
        <v>#REF!</v>
      </c>
      <c r="K9" s="920">
        <v>753573.6</v>
      </c>
      <c r="L9" s="923">
        <v>226072.08</v>
      </c>
      <c r="M9" s="923">
        <v>148874.24906250002</v>
      </c>
      <c r="N9" s="923">
        <v>374946.32906250004</v>
      </c>
      <c r="O9" s="923">
        <v>238198.7985</v>
      </c>
      <c r="P9" s="920">
        <v>515374.80149999994</v>
      </c>
      <c r="Q9" s="928">
        <v>0.31609228149712254</v>
      </c>
      <c r="R9" s="924" t="s">
        <v>92</v>
      </c>
      <c r="S9" s="925" t="s">
        <v>1178</v>
      </c>
      <c r="T9" s="926" t="s">
        <v>1112</v>
      </c>
      <c r="U9" s="935" t="s">
        <v>797</v>
      </c>
      <c r="V9" s="935" t="s">
        <v>798</v>
      </c>
      <c r="W9" s="935" t="s">
        <v>880</v>
      </c>
      <c r="X9" s="935">
        <v>11</v>
      </c>
      <c r="Y9" s="935">
        <v>70121</v>
      </c>
    </row>
    <row r="10" spans="1:25" s="915" customFormat="1" ht="27">
      <c r="A10" s="916">
        <v>25</v>
      </c>
      <c r="B10" s="917" t="s">
        <v>834</v>
      </c>
      <c r="C10" s="918" t="s">
        <v>835</v>
      </c>
      <c r="D10" s="936">
        <v>2074479</v>
      </c>
      <c r="E10" s="919">
        <v>186800</v>
      </c>
      <c r="F10" s="920">
        <v>2261279</v>
      </c>
      <c r="G10" s="920" t="e">
        <f>DATI!#REF!</f>
        <v>#REF!</v>
      </c>
      <c r="H10" s="920">
        <v>798948.8012200003</v>
      </c>
      <c r="I10" s="921" t="e">
        <f t="shared" si="0"/>
        <v>#REF!</v>
      </c>
      <c r="J10" s="922" t="s">
        <v>480</v>
      </c>
      <c r="K10" s="920">
        <v>1469831.35</v>
      </c>
      <c r="L10" s="923">
        <v>440949.4</v>
      </c>
      <c r="M10" s="923">
        <v>427054.533254375</v>
      </c>
      <c r="N10" s="923">
        <v>868003.933254375</v>
      </c>
      <c r="O10" s="923">
        <v>683287.2532069999</v>
      </c>
      <c r="P10" s="920">
        <v>786544.0967930002</v>
      </c>
      <c r="Q10" s="928">
        <v>0.4648745947669437</v>
      </c>
      <c r="R10" s="924" t="s">
        <v>1378</v>
      </c>
      <c r="S10" s="925" t="s">
        <v>1181</v>
      </c>
      <c r="T10" s="926" t="s">
        <v>1151</v>
      </c>
      <c r="U10" s="935" t="s">
        <v>797</v>
      </c>
      <c r="V10" s="935" t="s">
        <v>798</v>
      </c>
      <c r="W10" s="935" t="s">
        <v>838</v>
      </c>
      <c r="X10" s="935">
        <v>184</v>
      </c>
      <c r="Y10" s="935">
        <v>70126</v>
      </c>
    </row>
    <row r="11" spans="1:25" s="915" customFormat="1" ht="18">
      <c r="A11" s="916">
        <v>26</v>
      </c>
      <c r="B11" s="917" t="s">
        <v>890</v>
      </c>
      <c r="C11" s="918" t="s">
        <v>891</v>
      </c>
      <c r="D11" s="919">
        <v>733650</v>
      </c>
      <c r="E11" s="919">
        <v>81130</v>
      </c>
      <c r="F11" s="920">
        <v>814780</v>
      </c>
      <c r="G11" s="920" t="e">
        <f>DATI!#REF!</f>
        <v>#REF!</v>
      </c>
      <c r="H11" s="920">
        <v>173722.12199999997</v>
      </c>
      <c r="I11" s="921" t="e">
        <f t="shared" si="0"/>
        <v>#REF!</v>
      </c>
      <c r="J11" s="922" t="s">
        <v>480</v>
      </c>
      <c r="K11" s="920">
        <v>529607</v>
      </c>
      <c r="L11" s="923">
        <v>158882</v>
      </c>
      <c r="M11" s="923">
        <v>257805.617</v>
      </c>
      <c r="N11" s="923">
        <v>416687.61699999997</v>
      </c>
      <c r="O11" s="923">
        <v>416687.6207</v>
      </c>
      <c r="P11" s="920">
        <v>112919.37929999997</v>
      </c>
      <c r="Q11" s="921">
        <v>0.7867864675127029</v>
      </c>
      <c r="R11" s="924" t="s">
        <v>1327</v>
      </c>
      <c r="S11" s="925" t="s">
        <v>1188</v>
      </c>
      <c r="T11" s="926" t="s">
        <v>1203</v>
      </c>
      <c r="U11" s="935" t="s">
        <v>797</v>
      </c>
      <c r="V11" s="935" t="s">
        <v>798</v>
      </c>
      <c r="W11" s="935" t="s">
        <v>893</v>
      </c>
      <c r="X11" s="935" t="s">
        <v>894</v>
      </c>
      <c r="Y11" s="935">
        <v>70126</v>
      </c>
    </row>
    <row r="12" spans="1:25" s="915" customFormat="1" ht="9">
      <c r="A12" s="916">
        <v>27</v>
      </c>
      <c r="B12" s="917" t="s">
        <v>1096</v>
      </c>
      <c r="C12" s="918" t="s">
        <v>855</v>
      </c>
      <c r="D12" s="919">
        <v>793500</v>
      </c>
      <c r="E12" s="919">
        <v>134000</v>
      </c>
      <c r="F12" s="920">
        <v>927500</v>
      </c>
      <c r="G12" s="920" t="e">
        <f>DATI!#REF!</f>
        <v>#REF!</v>
      </c>
      <c r="H12" s="920">
        <v>292700</v>
      </c>
      <c r="I12" s="921" t="e">
        <f t="shared" si="0"/>
        <v>#REF!</v>
      </c>
      <c r="J12" s="922" t="s">
        <v>480</v>
      </c>
      <c r="K12" s="920">
        <v>463750</v>
      </c>
      <c r="L12" s="923">
        <v>119000</v>
      </c>
      <c r="M12" s="923">
        <v>198400.02</v>
      </c>
      <c r="N12" s="923">
        <v>317400.02</v>
      </c>
      <c r="O12" s="923">
        <v>317400</v>
      </c>
      <c r="P12" s="920">
        <v>146350</v>
      </c>
      <c r="Q12" s="921">
        <v>0.6844204851752022</v>
      </c>
      <c r="R12" s="924" t="s">
        <v>34</v>
      </c>
      <c r="S12" s="925" t="s">
        <v>1056</v>
      </c>
      <c r="T12" s="926" t="s">
        <v>1094</v>
      </c>
      <c r="U12" s="927" t="s">
        <v>797</v>
      </c>
      <c r="V12" s="927" t="s">
        <v>798</v>
      </c>
      <c r="W12" s="927" t="s">
        <v>1057</v>
      </c>
      <c r="X12" s="927">
        <v>5</v>
      </c>
      <c r="Y12" s="927">
        <v>70125</v>
      </c>
    </row>
    <row r="13" spans="1:25" s="915" customFormat="1" ht="18">
      <c r="A13" s="916">
        <v>28</v>
      </c>
      <c r="B13" s="917" t="s">
        <v>826</v>
      </c>
      <c r="C13" s="937" t="s">
        <v>747</v>
      </c>
      <c r="D13" s="919">
        <v>3842070</v>
      </c>
      <c r="E13" s="919">
        <v>230687.4</v>
      </c>
      <c r="F13" s="920">
        <v>4072757.4</v>
      </c>
      <c r="G13" s="920" t="e">
        <f>DATI!#REF!</f>
        <v>#REF!</v>
      </c>
      <c r="H13" s="920">
        <v>1390552.7880333331</v>
      </c>
      <c r="I13" s="921" t="e">
        <f t="shared" si="0"/>
        <v>#REF!</v>
      </c>
      <c r="J13" s="938" t="s">
        <v>480</v>
      </c>
      <c r="K13" s="920">
        <v>2500000</v>
      </c>
      <c r="L13" s="923">
        <v>749203.51</v>
      </c>
      <c r="M13" s="923">
        <v>900649.4276739582</v>
      </c>
      <c r="N13" s="923">
        <v>1649852.9376739583</v>
      </c>
      <c r="O13" s="923">
        <v>1441039.0682783332</v>
      </c>
      <c r="P13" s="920">
        <v>1058960.9317216668</v>
      </c>
      <c r="Q13" s="928">
        <v>0.5764156273113332</v>
      </c>
      <c r="R13" s="924" t="s">
        <v>223</v>
      </c>
      <c r="S13" s="925" t="s">
        <v>1179</v>
      </c>
      <c r="T13" s="926" t="s">
        <v>1100</v>
      </c>
      <c r="U13" s="935" t="s">
        <v>797</v>
      </c>
      <c r="V13" s="935" t="s">
        <v>798</v>
      </c>
      <c r="W13" s="935" t="s">
        <v>1356</v>
      </c>
      <c r="X13" s="939" t="s">
        <v>1295</v>
      </c>
      <c r="Y13" s="935">
        <v>70125</v>
      </c>
    </row>
    <row r="14" spans="1:25" s="915" customFormat="1" ht="9">
      <c r="A14" s="916">
        <v>29</v>
      </c>
      <c r="B14" s="917" t="s">
        <v>290</v>
      </c>
      <c r="C14" s="918" t="s">
        <v>748</v>
      </c>
      <c r="D14" s="919">
        <v>1878269</v>
      </c>
      <c r="E14" s="919">
        <v>362159.8</v>
      </c>
      <c r="F14" s="920">
        <v>2240428.8</v>
      </c>
      <c r="G14" s="920" t="e">
        <f>DATI!#REF!</f>
        <v>#REF!</v>
      </c>
      <c r="H14" s="920">
        <v>669677.09</v>
      </c>
      <c r="I14" s="921" t="e">
        <f t="shared" si="0"/>
        <v>#REF!</v>
      </c>
      <c r="J14" s="938" t="s">
        <v>480</v>
      </c>
      <c r="K14" s="920">
        <v>1456278.72</v>
      </c>
      <c r="L14" s="923">
        <v>436883.32</v>
      </c>
      <c r="M14" s="923">
        <v>539372.041875</v>
      </c>
      <c r="N14" s="923">
        <v>976255.361875</v>
      </c>
      <c r="O14" s="923">
        <v>862995.2609999999</v>
      </c>
      <c r="P14" s="920">
        <v>593283.4590000003</v>
      </c>
      <c r="Q14" s="928">
        <v>0.5926030842502455</v>
      </c>
      <c r="R14" s="924" t="s">
        <v>1026</v>
      </c>
      <c r="S14" s="925" t="s">
        <v>1189</v>
      </c>
      <c r="T14" s="926" t="s">
        <v>1025</v>
      </c>
      <c r="U14" s="935" t="s">
        <v>797</v>
      </c>
      <c r="V14" s="935" t="s">
        <v>798</v>
      </c>
      <c r="W14" s="935" t="s">
        <v>282</v>
      </c>
      <c r="X14" s="935" t="s">
        <v>285</v>
      </c>
      <c r="Y14" s="935">
        <v>70124</v>
      </c>
    </row>
    <row r="15" spans="1:25" s="941" customFormat="1" ht="27">
      <c r="A15" s="927">
        <v>30</v>
      </c>
      <c r="B15" s="917" t="s">
        <v>1105</v>
      </c>
      <c r="C15" s="918" t="s">
        <v>900</v>
      </c>
      <c r="D15" s="940">
        <v>2136920</v>
      </c>
      <c r="E15" s="940">
        <v>363310.8</v>
      </c>
      <c r="F15" s="920">
        <v>2500230.8</v>
      </c>
      <c r="G15" s="920" t="e">
        <f>DATI!#REF!</f>
        <v>#REF!</v>
      </c>
      <c r="H15" s="920">
        <v>1543752.04</v>
      </c>
      <c r="I15" s="928" t="e">
        <f t="shared" si="0"/>
        <v>#REF!</v>
      </c>
      <c r="J15" s="938" t="e">
        <f>F15*0.6-G15</f>
        <v>#REF!</v>
      </c>
      <c r="K15" s="920">
        <v>1625150.02</v>
      </c>
      <c r="L15" s="920">
        <v>487545.01</v>
      </c>
      <c r="M15" s="920">
        <v>287006.99625</v>
      </c>
      <c r="N15" s="920">
        <v>774552.0062500001</v>
      </c>
      <c r="O15" s="920">
        <v>459211.194</v>
      </c>
      <c r="P15" s="920">
        <v>1165938.826</v>
      </c>
      <c r="Q15" s="928">
        <v>0.2825654175606508</v>
      </c>
      <c r="R15" s="924" t="s">
        <v>1379</v>
      </c>
      <c r="S15" s="925" t="s">
        <v>1190</v>
      </c>
      <c r="T15" s="926" t="s">
        <v>1198</v>
      </c>
      <c r="U15" s="927" t="s">
        <v>797</v>
      </c>
      <c r="V15" s="927" t="s">
        <v>798</v>
      </c>
      <c r="W15" s="927" t="s">
        <v>37</v>
      </c>
      <c r="X15" s="927">
        <v>86</v>
      </c>
      <c r="Y15" s="927">
        <v>70124</v>
      </c>
    </row>
    <row r="16" spans="1:25" s="915" customFormat="1" ht="18">
      <c r="A16" s="916">
        <v>31</v>
      </c>
      <c r="B16" s="917" t="s">
        <v>884</v>
      </c>
      <c r="C16" s="918" t="s">
        <v>1193</v>
      </c>
      <c r="D16" s="919">
        <v>438880</v>
      </c>
      <c r="E16" s="919">
        <v>73376</v>
      </c>
      <c r="F16" s="920">
        <v>512256</v>
      </c>
      <c r="G16" s="920" t="e">
        <f>DATI!#REF!</f>
        <v>#REF!</v>
      </c>
      <c r="H16" s="920">
        <v>247232.64099999995</v>
      </c>
      <c r="I16" s="921" t="e">
        <f t="shared" si="0"/>
        <v>#REF!</v>
      </c>
      <c r="J16" s="922" t="e">
        <f>F16*0.6-G16</f>
        <v>#REF!</v>
      </c>
      <c r="K16" s="920">
        <v>332966.4</v>
      </c>
      <c r="L16" s="923">
        <v>99889.92</v>
      </c>
      <c r="M16" s="923">
        <v>107665.73959375001</v>
      </c>
      <c r="N16" s="923">
        <v>207555.65959375002</v>
      </c>
      <c r="O16" s="923">
        <v>172265.18335</v>
      </c>
      <c r="P16" s="920">
        <v>160701.21665000002</v>
      </c>
      <c r="Q16" s="928">
        <v>0.5173650655141179</v>
      </c>
      <c r="R16" s="924" t="s">
        <v>1192</v>
      </c>
      <c r="S16" s="925" t="s">
        <v>1191</v>
      </c>
      <c r="T16" s="926" t="s">
        <v>103</v>
      </c>
      <c r="U16" s="927" t="s">
        <v>797</v>
      </c>
      <c r="V16" s="927" t="s">
        <v>798</v>
      </c>
      <c r="W16" s="927" t="s">
        <v>887</v>
      </c>
      <c r="X16" s="927" t="s">
        <v>888</v>
      </c>
      <c r="Y16" s="927">
        <v>70126</v>
      </c>
    </row>
    <row r="17" spans="1:25" s="915" customFormat="1" ht="27">
      <c r="A17" s="942">
        <v>32</v>
      </c>
      <c r="B17" s="943" t="s">
        <v>388</v>
      </c>
      <c r="C17" s="918" t="s">
        <v>749</v>
      </c>
      <c r="D17" s="919">
        <v>934200</v>
      </c>
      <c r="E17" s="919">
        <v>79740</v>
      </c>
      <c r="F17" s="920">
        <v>1013940</v>
      </c>
      <c r="G17" s="920" t="e">
        <f>DATI!#REF!</f>
        <v>#REF!</v>
      </c>
      <c r="H17" s="920">
        <v>653715.28</v>
      </c>
      <c r="I17" s="932">
        <v>0.3552722251809772</v>
      </c>
      <c r="J17" s="922" t="e">
        <f>F17*0.6-G17</f>
        <v>#REF!</v>
      </c>
      <c r="K17" s="920">
        <v>659061</v>
      </c>
      <c r="L17" s="923">
        <v>197718.3</v>
      </c>
      <c r="M17" s="923">
        <v>146341.2925</v>
      </c>
      <c r="N17" s="923">
        <v>344059.5925</v>
      </c>
      <c r="O17" s="923">
        <v>234146.06800000003</v>
      </c>
      <c r="P17" s="920">
        <v>424914.932</v>
      </c>
      <c r="Q17" s="928">
        <v>0.35527222518097723</v>
      </c>
      <c r="R17" s="924" t="s">
        <v>1373</v>
      </c>
      <c r="S17" s="925" t="s">
        <v>1183</v>
      </c>
      <c r="T17" s="944" t="s">
        <v>425</v>
      </c>
      <c r="U17" s="935" t="s">
        <v>814</v>
      </c>
      <c r="V17" s="935" t="s">
        <v>798</v>
      </c>
      <c r="W17" s="935" t="s">
        <v>815</v>
      </c>
      <c r="X17" s="935">
        <v>2</v>
      </c>
      <c r="Y17" s="935">
        <v>70017</v>
      </c>
    </row>
    <row r="18" spans="1:25" s="915" customFormat="1" ht="27">
      <c r="A18" s="916">
        <v>34</v>
      </c>
      <c r="B18" s="917" t="s">
        <v>816</v>
      </c>
      <c r="C18" s="918" t="s">
        <v>750</v>
      </c>
      <c r="D18" s="919">
        <v>2584036</v>
      </c>
      <c r="E18" s="919">
        <v>237543.2</v>
      </c>
      <c r="F18" s="920">
        <v>2821579.2</v>
      </c>
      <c r="G18" s="920" t="e">
        <f>DATI!#REF!</f>
        <v>#REF!</v>
      </c>
      <c r="H18" s="920">
        <v>1165665.31</v>
      </c>
      <c r="I18" s="921" t="e">
        <f aca="true" t="shared" si="1" ref="I18:I25">G18/F18</f>
        <v>#REF!</v>
      </c>
      <c r="J18" s="922" t="e">
        <f>F18*0.6-G18</f>
        <v>#REF!</v>
      </c>
      <c r="K18" s="920">
        <v>1834026.48</v>
      </c>
      <c r="L18" s="923">
        <v>503887.02</v>
      </c>
      <c r="M18" s="923">
        <v>672715.0178125001</v>
      </c>
      <c r="N18" s="923">
        <v>1176602.0378125</v>
      </c>
      <c r="O18" s="923">
        <v>1076344.0285</v>
      </c>
      <c r="P18" s="920">
        <v>757682.4515</v>
      </c>
      <c r="Q18" s="928">
        <v>0.5868748571721821</v>
      </c>
      <c r="R18" s="924" t="s">
        <v>371</v>
      </c>
      <c r="S18" s="925" t="s">
        <v>1180</v>
      </c>
      <c r="T18" s="926" t="s">
        <v>1150</v>
      </c>
      <c r="U18" s="935" t="s">
        <v>797</v>
      </c>
      <c r="V18" s="935" t="s">
        <v>798</v>
      </c>
      <c r="W18" s="935" t="s">
        <v>824</v>
      </c>
      <c r="X18" s="935">
        <v>4</v>
      </c>
      <c r="Y18" s="935">
        <v>70124</v>
      </c>
    </row>
    <row r="19" spans="1:25" s="915" customFormat="1" ht="27">
      <c r="A19" s="916">
        <v>39</v>
      </c>
      <c r="B19" s="917" t="s">
        <v>847</v>
      </c>
      <c r="C19" s="918" t="s">
        <v>751</v>
      </c>
      <c r="D19" s="919">
        <v>659925</v>
      </c>
      <c r="E19" s="919">
        <v>87685</v>
      </c>
      <c r="F19" s="920">
        <v>747610</v>
      </c>
      <c r="G19" s="920" t="e">
        <f>DATI!#REF!</f>
        <v>#REF!</v>
      </c>
      <c r="H19" s="920">
        <v>129952.36</v>
      </c>
      <c r="I19" s="921" t="e">
        <f t="shared" si="1"/>
        <v>#REF!</v>
      </c>
      <c r="J19" s="922" t="s">
        <v>480</v>
      </c>
      <c r="K19" s="920">
        <v>485946.5</v>
      </c>
      <c r="L19" s="923">
        <v>145783.95</v>
      </c>
      <c r="M19" s="923">
        <v>250923.41625</v>
      </c>
      <c r="N19" s="923">
        <v>396707.36625</v>
      </c>
      <c r="O19" s="923">
        <v>401477.466</v>
      </c>
      <c r="P19" s="920">
        <v>84469.03399999999</v>
      </c>
      <c r="Q19" s="921">
        <v>0.8261762683752224</v>
      </c>
      <c r="R19" s="924" t="s">
        <v>1403</v>
      </c>
      <c r="S19" s="925" t="s">
        <v>1194</v>
      </c>
      <c r="T19" s="926" t="s">
        <v>155</v>
      </c>
      <c r="U19" s="935" t="s">
        <v>849</v>
      </c>
      <c r="V19" s="935" t="s">
        <v>804</v>
      </c>
      <c r="W19" s="935" t="s">
        <v>850</v>
      </c>
      <c r="X19" s="935">
        <v>97</v>
      </c>
      <c r="Y19" s="935">
        <v>73010</v>
      </c>
    </row>
    <row r="20" spans="1:25" s="915" customFormat="1" ht="27">
      <c r="A20" s="916">
        <v>41</v>
      </c>
      <c r="B20" s="917" t="s">
        <v>808</v>
      </c>
      <c r="C20" s="918" t="s">
        <v>752</v>
      </c>
      <c r="D20" s="919">
        <v>1500000</v>
      </c>
      <c r="E20" s="919">
        <v>117000</v>
      </c>
      <c r="F20" s="920">
        <v>1617000</v>
      </c>
      <c r="G20" s="920" t="e">
        <f>DATI!#REF!</f>
        <v>#REF!</v>
      </c>
      <c r="H20" s="920">
        <v>826593.52</v>
      </c>
      <c r="I20" s="921" t="e">
        <f t="shared" si="1"/>
        <v>#REF!</v>
      </c>
      <c r="J20" s="922" t="e">
        <f>F20*0.6-G20</f>
        <v>#REF!</v>
      </c>
      <c r="K20" s="920">
        <v>808500</v>
      </c>
      <c r="L20" s="923">
        <v>225000</v>
      </c>
      <c r="M20" s="923">
        <v>226484.43687499998</v>
      </c>
      <c r="N20" s="923">
        <v>451484.436875</v>
      </c>
      <c r="O20" s="923">
        <v>362375.115</v>
      </c>
      <c r="P20" s="920">
        <v>446124.885</v>
      </c>
      <c r="Q20" s="928">
        <v>0.44820669758812615</v>
      </c>
      <c r="R20" s="924" t="s">
        <v>1334</v>
      </c>
      <c r="S20" s="925" t="s">
        <v>1195</v>
      </c>
      <c r="T20" s="926" t="s">
        <v>23</v>
      </c>
      <c r="U20" s="935" t="s">
        <v>803</v>
      </c>
      <c r="V20" s="935" t="s">
        <v>804</v>
      </c>
      <c r="W20" s="935" t="s">
        <v>811</v>
      </c>
      <c r="X20" s="935">
        <v>31</v>
      </c>
      <c r="Y20" s="935">
        <v>73100</v>
      </c>
    </row>
    <row r="21" spans="1:25" s="915" customFormat="1" ht="36">
      <c r="A21" s="916">
        <v>44</v>
      </c>
      <c r="B21" s="917" t="s">
        <v>370</v>
      </c>
      <c r="C21" s="945" t="s">
        <v>801</v>
      </c>
      <c r="D21" s="919">
        <v>3563800</v>
      </c>
      <c r="E21" s="919">
        <v>246300</v>
      </c>
      <c r="F21" s="920">
        <v>3810100</v>
      </c>
      <c r="G21" s="920" t="e">
        <f>DATI!#REF!</f>
        <v>#REF!</v>
      </c>
      <c r="H21" s="920">
        <v>995836.6366002355</v>
      </c>
      <c r="I21" s="921" t="e">
        <f t="shared" si="1"/>
        <v>#REF!</v>
      </c>
      <c r="J21" s="922" t="s">
        <v>480</v>
      </c>
      <c r="K21" s="920">
        <v>2476565</v>
      </c>
      <c r="L21" s="923">
        <v>742669.51</v>
      </c>
      <c r="M21" s="923">
        <v>1141586.8513811543</v>
      </c>
      <c r="N21" s="923">
        <v>1884256.3613811543</v>
      </c>
      <c r="O21" s="923">
        <v>1829271.1862098472</v>
      </c>
      <c r="P21" s="920">
        <v>647293.8137901528</v>
      </c>
      <c r="Q21" s="921">
        <v>0.7386324147397089</v>
      </c>
      <c r="R21" s="924" t="s">
        <v>1354</v>
      </c>
      <c r="S21" s="925" t="s">
        <v>1355</v>
      </c>
      <c r="T21" s="926" t="s">
        <v>456</v>
      </c>
      <c r="U21" s="935" t="s">
        <v>797</v>
      </c>
      <c r="V21" s="935" t="s">
        <v>798</v>
      </c>
      <c r="W21" s="935" t="s">
        <v>141</v>
      </c>
      <c r="X21" s="935">
        <v>184</v>
      </c>
      <c r="Y21" s="935">
        <v>70126</v>
      </c>
    </row>
    <row r="22" spans="1:25" s="915" customFormat="1" ht="27">
      <c r="A22" s="916">
        <v>45</v>
      </c>
      <c r="B22" s="917" t="s">
        <v>829</v>
      </c>
      <c r="C22" s="918" t="s">
        <v>830</v>
      </c>
      <c r="D22" s="919">
        <v>498707</v>
      </c>
      <c r="E22" s="919">
        <v>90061.4</v>
      </c>
      <c r="F22" s="920">
        <v>588768.4</v>
      </c>
      <c r="G22" s="920" t="e">
        <f>DATI!#REF!</f>
        <v>#REF!</v>
      </c>
      <c r="H22" s="920">
        <v>90841.35</v>
      </c>
      <c r="I22" s="921" t="e">
        <f t="shared" si="1"/>
        <v>#REF!</v>
      </c>
      <c r="J22" s="922" t="s">
        <v>480</v>
      </c>
      <c r="K22" s="920">
        <v>382699.46</v>
      </c>
      <c r="L22" s="923">
        <v>97247.87</v>
      </c>
      <c r="M22" s="923">
        <v>226404.7194375</v>
      </c>
      <c r="N22" s="923">
        <v>323652.5894375</v>
      </c>
      <c r="O22" s="923">
        <v>323652.58249999996</v>
      </c>
      <c r="P22" s="920">
        <v>59046.87750000006</v>
      </c>
      <c r="Q22" s="921">
        <v>0.8457095353622918</v>
      </c>
      <c r="R22" s="946" t="s">
        <v>1417</v>
      </c>
      <c r="S22" s="925" t="s">
        <v>1196</v>
      </c>
      <c r="T22" s="926" t="s">
        <v>1209</v>
      </c>
      <c r="U22" s="927" t="s">
        <v>803</v>
      </c>
      <c r="V22" s="927" t="s">
        <v>804</v>
      </c>
      <c r="W22" s="927" t="s">
        <v>832</v>
      </c>
      <c r="X22" s="927">
        <v>39</v>
      </c>
      <c r="Y22" s="927">
        <v>73100</v>
      </c>
    </row>
    <row r="23" spans="1:25" s="915" customFormat="1" ht="27">
      <c r="A23" s="942">
        <v>46</v>
      </c>
      <c r="B23" s="943" t="s">
        <v>140</v>
      </c>
      <c r="C23" s="947" t="s">
        <v>756</v>
      </c>
      <c r="D23" s="936">
        <v>538800</v>
      </c>
      <c r="E23" s="936">
        <v>89164</v>
      </c>
      <c r="F23" s="920">
        <v>627964</v>
      </c>
      <c r="G23" s="920" t="e">
        <f>DATI!#REF!</f>
        <v>#REF!</v>
      </c>
      <c r="H23" s="920">
        <v>627964</v>
      </c>
      <c r="I23" s="932" t="e">
        <f t="shared" si="1"/>
        <v>#REF!</v>
      </c>
      <c r="J23" s="922" t="e">
        <f>F23*0.6-G23</f>
        <v>#REF!</v>
      </c>
      <c r="K23" s="920">
        <v>408176.6</v>
      </c>
      <c r="L23" s="923">
        <v>97247.87</v>
      </c>
      <c r="M23" s="923">
        <v>0</v>
      </c>
      <c r="N23" s="923">
        <v>97247.87</v>
      </c>
      <c r="O23" s="923">
        <v>0</v>
      </c>
      <c r="P23" s="920">
        <v>408176.6</v>
      </c>
      <c r="Q23" s="928">
        <v>0</v>
      </c>
      <c r="R23" s="948" t="s">
        <v>1391</v>
      </c>
      <c r="S23" s="949" t="s">
        <v>1357</v>
      </c>
      <c r="T23" s="944" t="s">
        <v>410</v>
      </c>
      <c r="U23" s="935" t="s">
        <v>903</v>
      </c>
      <c r="V23" s="935" t="s">
        <v>904</v>
      </c>
      <c r="W23" s="935" t="s">
        <v>1392</v>
      </c>
      <c r="X23" s="935">
        <v>93</v>
      </c>
      <c r="Y23" s="935">
        <v>71100</v>
      </c>
    </row>
    <row r="24" spans="1:25" s="915" customFormat="1" ht="18">
      <c r="A24" s="916">
        <v>47</v>
      </c>
      <c r="B24" s="917" t="s">
        <v>272</v>
      </c>
      <c r="C24" s="918" t="s">
        <v>919</v>
      </c>
      <c r="D24" s="919">
        <v>333175</v>
      </c>
      <c r="E24" s="919">
        <v>56315</v>
      </c>
      <c r="F24" s="920">
        <v>389490</v>
      </c>
      <c r="G24" s="920" t="e">
        <f>DATI!#REF!</f>
        <v>#REF!</v>
      </c>
      <c r="H24" s="920">
        <v>15697.4200333333</v>
      </c>
      <c r="I24" s="921" t="e">
        <f t="shared" si="1"/>
        <v>#REF!</v>
      </c>
      <c r="J24" s="922" t="s">
        <v>480</v>
      </c>
      <c r="K24" s="920">
        <v>194745</v>
      </c>
      <c r="L24" s="923">
        <v>58423.5</v>
      </c>
      <c r="M24" s="923">
        <v>128472.79067708335</v>
      </c>
      <c r="N24" s="923">
        <v>186896.29067708337</v>
      </c>
      <c r="O24" s="923">
        <v>186896.28998333335</v>
      </c>
      <c r="P24" s="920">
        <v>7848.71001666665</v>
      </c>
      <c r="Q24" s="921">
        <v>0.9596975017758266</v>
      </c>
      <c r="R24" s="924" t="s">
        <v>1022</v>
      </c>
      <c r="S24" s="925" t="s">
        <v>1187</v>
      </c>
      <c r="T24" s="926" t="s">
        <v>1217</v>
      </c>
      <c r="U24" s="927" t="s">
        <v>903</v>
      </c>
      <c r="V24" s="927" t="s">
        <v>904</v>
      </c>
      <c r="W24" s="927" t="s">
        <v>36</v>
      </c>
      <c r="X24" s="927">
        <v>15</v>
      </c>
      <c r="Y24" s="927">
        <v>71100</v>
      </c>
    </row>
    <row r="25" spans="1:25" s="915" customFormat="1" ht="27">
      <c r="A25" s="916">
        <v>50</v>
      </c>
      <c r="B25" s="917" t="s">
        <v>126</v>
      </c>
      <c r="C25" s="918" t="s">
        <v>987</v>
      </c>
      <c r="D25" s="919">
        <v>3845266</v>
      </c>
      <c r="E25" s="919">
        <v>564194.6</v>
      </c>
      <c r="F25" s="920">
        <v>4409460.6</v>
      </c>
      <c r="G25" s="920" t="e">
        <f>DATI!#REF!</f>
        <v>#REF!</v>
      </c>
      <c r="H25" s="920">
        <v>3156102.96</v>
      </c>
      <c r="I25" s="932" t="e">
        <f t="shared" si="1"/>
        <v>#REF!</v>
      </c>
      <c r="J25" s="922" t="e">
        <f>F25*0.6-G25</f>
        <v>#REF!</v>
      </c>
      <c r="K25" s="920">
        <v>2500000</v>
      </c>
      <c r="L25" s="923">
        <v>750000</v>
      </c>
      <c r="M25" s="923">
        <v>509176.54125</v>
      </c>
      <c r="N25" s="923">
        <v>1259176.54125</v>
      </c>
      <c r="O25" s="923">
        <v>814682.466</v>
      </c>
      <c r="P25" s="920">
        <v>1685317.534</v>
      </c>
      <c r="Q25" s="928">
        <v>0.3258729864</v>
      </c>
      <c r="R25" s="924" t="s">
        <v>416</v>
      </c>
      <c r="S25" s="925" t="s">
        <v>1197</v>
      </c>
      <c r="T25" s="926" t="s">
        <v>1139</v>
      </c>
      <c r="U25" s="927" t="s">
        <v>797</v>
      </c>
      <c r="V25" s="927" t="s">
        <v>1018</v>
      </c>
      <c r="W25" s="927" t="s">
        <v>1019</v>
      </c>
      <c r="X25" s="927">
        <v>33</v>
      </c>
      <c r="Y25" s="927">
        <v>70122</v>
      </c>
    </row>
    <row r="26" spans="1:25" s="915" customFormat="1" ht="9">
      <c r="A26" s="950"/>
      <c r="B26" s="951" t="s">
        <v>479</v>
      </c>
      <c r="C26" s="952"/>
      <c r="D26" s="953">
        <v>41630388.91</v>
      </c>
      <c r="E26" s="953">
        <v>5377627.582</v>
      </c>
      <c r="F26" s="954">
        <v>47008016.492000006</v>
      </c>
      <c r="G26" s="954">
        <v>27109139.201553106</v>
      </c>
      <c r="H26" s="954">
        <v>19898877.2904469</v>
      </c>
      <c r="I26" s="955">
        <v>0.5766918331082239</v>
      </c>
      <c r="J26" s="956">
        <f>F26*0.6-G26</f>
        <v>1095670.6936468966</v>
      </c>
      <c r="K26" s="957">
        <v>28988439.09</v>
      </c>
      <c r="L26" s="954">
        <v>8568671.85</v>
      </c>
      <c r="M26" s="954">
        <v>10055138.62119657</v>
      </c>
      <c r="N26" s="954">
        <v>18623810.47119657</v>
      </c>
      <c r="O26" s="954">
        <v>16037857.453714516</v>
      </c>
      <c r="P26" s="954">
        <v>12950581.636285484</v>
      </c>
      <c r="Q26" s="958">
        <v>0.5532501216751273</v>
      </c>
      <c r="R26" s="959"/>
      <c r="S26" s="959"/>
      <c r="T26" s="959"/>
      <c r="U26" s="959"/>
      <c r="V26" s="959"/>
      <c r="W26" s="959"/>
      <c r="X26" s="959"/>
      <c r="Y26" s="959"/>
    </row>
  </sheetData>
  <sheetProtection/>
  <printOptions gridLines="1" horizontalCentered="1"/>
  <pageMargins left="0.15748031496062992" right="0.15748031496062992" top="0.2362204724409449" bottom="0.35433070866141736" header="0.15748031496062992" footer="0.1968503937007874"/>
  <pageSetup horizontalDpi="600" verticalDpi="600" orientation="landscape" paperSize="9" scale="85" r:id="rId3"/>
  <colBreaks count="1" manualBreakCount="1">
    <brk id="17"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E72"/>
  <sheetViews>
    <sheetView workbookViewId="0" topLeftCell="A1">
      <pane xSplit="4" ySplit="1" topLeftCell="E29" activePane="bottomRight" state="frozen"/>
      <selection pane="topLeft" activeCell="A1" sqref="A1"/>
      <selection pane="topRight" activeCell="E1" sqref="E1"/>
      <selection pane="bottomLeft" activeCell="A2" sqref="A2"/>
      <selection pane="bottomRight" activeCell="C47" sqref="C47:C49"/>
    </sheetView>
  </sheetViews>
  <sheetFormatPr defaultColWidth="9.140625" defaultRowHeight="12.75"/>
  <cols>
    <col min="1" max="2" width="3.00390625" style="1135" bestFit="1" customWidth="1"/>
    <col min="3" max="3" width="31.57421875" style="1135" customWidth="1"/>
    <col min="4" max="4" width="11.28125" style="1135" customWidth="1"/>
    <col min="5" max="5" width="17.28125" style="1135" hidden="1" customWidth="1"/>
    <col min="6" max="6" width="11.00390625" style="1135" hidden="1" customWidth="1"/>
    <col min="7" max="7" width="12.57421875" style="1135" hidden="1" customWidth="1"/>
    <col min="8" max="8" width="7.7109375" style="1135" hidden="1" customWidth="1"/>
    <col min="9" max="9" width="3.140625" style="1135" hidden="1" customWidth="1"/>
    <col min="10" max="10" width="12.28125" style="1135" hidden="1" customWidth="1"/>
    <col min="11" max="11" width="5.00390625" style="1135" hidden="1" customWidth="1"/>
    <col min="12" max="12" width="5.28125" style="1135" hidden="1" customWidth="1"/>
    <col min="13" max="13" width="10.8515625" style="1135" bestFit="1" customWidth="1"/>
    <col min="14" max="14" width="10.8515625" style="1135" customWidth="1"/>
    <col min="15" max="15" width="8.7109375" style="1135" bestFit="1" customWidth="1"/>
    <col min="16" max="16" width="5.140625" style="1135" bestFit="1" customWidth="1"/>
    <col min="17" max="17" width="0" style="1135" hidden="1" customWidth="1"/>
    <col min="18" max="18" width="8.7109375" style="1135" bestFit="1" customWidth="1"/>
    <col min="19" max="19" width="3.00390625" style="1135" bestFit="1" customWidth="1"/>
    <col min="20" max="21" width="13.00390625" style="1169" customWidth="1"/>
    <col min="22" max="22" width="23.7109375" style="1135" customWidth="1"/>
    <col min="23" max="23" width="18.28125" style="1135" customWidth="1"/>
    <col min="24" max="24" width="6.28125" style="1135" customWidth="1"/>
    <col min="25" max="26" width="10.140625" style="1135" bestFit="1" customWidth="1"/>
    <col min="27" max="27" width="4.00390625" style="1135" customWidth="1"/>
    <col min="28" max="28" width="4.00390625" style="1135" bestFit="1" customWidth="1"/>
    <col min="29" max="29" width="10.140625" style="1135" bestFit="1" customWidth="1"/>
    <col min="30" max="30" width="4.7109375" style="1135" customWidth="1"/>
    <col min="31" max="31" width="14.7109375" style="1135" customWidth="1"/>
    <col min="32" max="16384" width="9.140625" style="1135" customWidth="1"/>
  </cols>
  <sheetData>
    <row r="1" spans="1:28" ht="79.5">
      <c r="A1" s="1119" t="s">
        <v>769</v>
      </c>
      <c r="B1" s="1119" t="s">
        <v>665</v>
      </c>
      <c r="C1" s="1120" t="s">
        <v>771</v>
      </c>
      <c r="D1" s="1120" t="s">
        <v>772</v>
      </c>
      <c r="E1" s="1120" t="s">
        <v>1101</v>
      </c>
      <c r="F1" s="1121" t="s">
        <v>1176</v>
      </c>
      <c r="G1" s="1122" t="s">
        <v>267</v>
      </c>
      <c r="H1" s="1119" t="s">
        <v>783</v>
      </c>
      <c r="I1" s="1119" t="s">
        <v>784</v>
      </c>
      <c r="J1" s="1119" t="s">
        <v>785</v>
      </c>
      <c r="K1" s="1119" t="s">
        <v>786</v>
      </c>
      <c r="L1" s="1127" t="s">
        <v>787</v>
      </c>
      <c r="M1" s="1118" t="s">
        <v>405</v>
      </c>
      <c r="N1" s="1118" t="s">
        <v>1092</v>
      </c>
      <c r="O1" s="1128" t="s">
        <v>1097</v>
      </c>
      <c r="P1" s="1129" t="s">
        <v>1210</v>
      </c>
      <c r="Q1" s="1130"/>
      <c r="R1" s="1131" t="s">
        <v>1401</v>
      </c>
      <c r="S1" s="1131" t="s">
        <v>433</v>
      </c>
      <c r="T1" s="1166" t="s">
        <v>332</v>
      </c>
      <c r="U1" s="1166" t="s">
        <v>1479</v>
      </c>
      <c r="V1" s="1131" t="s">
        <v>28</v>
      </c>
      <c r="W1" s="1132" t="s">
        <v>1462</v>
      </c>
      <c r="X1" s="1133" t="s">
        <v>1463</v>
      </c>
      <c r="Y1" s="1133" t="s">
        <v>29</v>
      </c>
      <c r="Z1" s="1134" t="s">
        <v>1472</v>
      </c>
      <c r="AA1" s="1134" t="s">
        <v>1474</v>
      </c>
      <c r="AB1" s="1134" t="s">
        <v>1238</v>
      </c>
    </row>
    <row r="2" spans="1:27" ht="56.25">
      <c r="A2" s="1104">
        <v>23</v>
      </c>
      <c r="B2" s="1105">
        <v>47</v>
      </c>
      <c r="C2" s="1106" t="s">
        <v>272</v>
      </c>
      <c r="D2" s="1106" t="s">
        <v>919</v>
      </c>
      <c r="E2" s="1106" t="s">
        <v>1022</v>
      </c>
      <c r="F2" s="1107" t="s">
        <v>1187</v>
      </c>
      <c r="G2" s="1125" t="s">
        <v>1217</v>
      </c>
      <c r="H2" s="1104" t="s">
        <v>903</v>
      </c>
      <c r="I2" s="1104" t="s">
        <v>904</v>
      </c>
      <c r="J2" s="1115" t="s">
        <v>36</v>
      </c>
      <c r="K2" s="1104">
        <v>15</v>
      </c>
      <c r="L2" s="1104">
        <v>71100</v>
      </c>
      <c r="M2" s="1116">
        <v>389490</v>
      </c>
      <c r="N2" s="1108">
        <v>194745</v>
      </c>
      <c r="O2" s="1117">
        <v>38139</v>
      </c>
      <c r="P2" s="1109">
        <v>16</v>
      </c>
      <c r="Q2" s="1110">
        <f>P2/12</f>
        <v>1.3333333333333333</v>
      </c>
      <c r="R2" s="1111">
        <f>O2+(P2*365/12)</f>
        <v>38625.666666666664</v>
      </c>
      <c r="S2" s="1136" t="s">
        <v>434</v>
      </c>
      <c r="T2" s="1167"/>
      <c r="U2" s="1167"/>
      <c r="V2" s="1137" t="s">
        <v>30</v>
      </c>
      <c r="W2" s="1138"/>
      <c r="X2" s="1138"/>
      <c r="Y2" s="1138"/>
      <c r="Z2" s="1203" t="s">
        <v>1473</v>
      </c>
      <c r="AA2" s="1204" t="s">
        <v>1475</v>
      </c>
    </row>
    <row r="3" spans="1:27" ht="67.5">
      <c r="A3" s="1104">
        <v>21</v>
      </c>
      <c r="B3" s="1105">
        <v>45</v>
      </c>
      <c r="C3" s="1106" t="s">
        <v>829</v>
      </c>
      <c r="D3" s="1106" t="s">
        <v>830</v>
      </c>
      <c r="E3" s="1112" t="s">
        <v>1220</v>
      </c>
      <c r="F3" s="1107" t="s">
        <v>1196</v>
      </c>
      <c r="G3" s="1125" t="s">
        <v>1209</v>
      </c>
      <c r="H3" s="1104" t="s">
        <v>803</v>
      </c>
      <c r="I3" s="1104" t="s">
        <v>804</v>
      </c>
      <c r="J3" s="1115" t="s">
        <v>832</v>
      </c>
      <c r="K3" s="1104">
        <v>39</v>
      </c>
      <c r="L3" s="1104">
        <v>73100</v>
      </c>
      <c r="M3" s="1116">
        <v>588768.4</v>
      </c>
      <c r="N3" s="1108">
        <v>382699.46</v>
      </c>
      <c r="O3" s="1117">
        <v>38169</v>
      </c>
      <c r="P3" s="1109">
        <f>15+6+9</f>
        <v>30</v>
      </c>
      <c r="Q3" s="1110">
        <f>P3/12</f>
        <v>2.5</v>
      </c>
      <c r="R3" s="1111">
        <f>O3+(P3*365/12)</f>
        <v>39081.5</v>
      </c>
      <c r="S3" s="1136" t="s">
        <v>434</v>
      </c>
      <c r="T3" s="1167"/>
      <c r="U3" s="1167"/>
      <c r="V3" s="1137" t="s">
        <v>30</v>
      </c>
      <c r="W3" s="1214"/>
      <c r="X3" s="1138"/>
      <c r="Y3" s="1138"/>
      <c r="Z3" s="1203" t="s">
        <v>1473</v>
      </c>
      <c r="AA3" s="1204" t="s">
        <v>1475</v>
      </c>
    </row>
    <row r="4" spans="1:27" ht="56.25">
      <c r="A4" s="1104">
        <v>10</v>
      </c>
      <c r="B4" s="1105">
        <v>26</v>
      </c>
      <c r="C4" s="1106" t="s">
        <v>890</v>
      </c>
      <c r="D4" s="1106" t="s">
        <v>891</v>
      </c>
      <c r="E4" s="1106" t="s">
        <v>1327</v>
      </c>
      <c r="F4" s="1107" t="s">
        <v>1188</v>
      </c>
      <c r="G4" s="1125" t="s">
        <v>1203</v>
      </c>
      <c r="H4" s="1104" t="s">
        <v>797</v>
      </c>
      <c r="I4" s="1104" t="s">
        <v>798</v>
      </c>
      <c r="J4" s="1115" t="s">
        <v>893</v>
      </c>
      <c r="K4" s="1104" t="s">
        <v>894</v>
      </c>
      <c r="L4" s="1104">
        <v>70126</v>
      </c>
      <c r="M4" s="1116">
        <v>814780</v>
      </c>
      <c r="N4" s="1108">
        <v>529607</v>
      </c>
      <c r="O4" s="1117">
        <v>38376</v>
      </c>
      <c r="P4" s="1109">
        <f>18+6+2</f>
        <v>26</v>
      </c>
      <c r="Q4" s="1110">
        <f>P4/12</f>
        <v>2.1666666666666665</v>
      </c>
      <c r="R4" s="1111">
        <f>O4+(P4*365/12)</f>
        <v>39166.833333333336</v>
      </c>
      <c r="S4" s="1136" t="s">
        <v>434</v>
      </c>
      <c r="T4" s="1167"/>
      <c r="U4" s="1167"/>
      <c r="V4" s="1137" t="s">
        <v>30</v>
      </c>
      <c r="W4" s="1138"/>
      <c r="X4" s="1138"/>
      <c r="Y4" s="1138"/>
      <c r="Z4" s="1203" t="s">
        <v>1473</v>
      </c>
      <c r="AA4" s="1204" t="s">
        <v>1475</v>
      </c>
    </row>
    <row r="5" spans="1:29" ht="12.75" customHeight="1">
      <c r="A5" s="1268">
        <v>11</v>
      </c>
      <c r="B5" s="1271">
        <v>27</v>
      </c>
      <c r="C5" s="1274" t="s">
        <v>1096</v>
      </c>
      <c r="D5" s="1274" t="s">
        <v>855</v>
      </c>
      <c r="E5" s="1106" t="s">
        <v>34</v>
      </c>
      <c r="F5" s="1107" t="s">
        <v>1056</v>
      </c>
      <c r="G5" s="1125" t="s">
        <v>1094</v>
      </c>
      <c r="H5" s="1104" t="s">
        <v>797</v>
      </c>
      <c r="I5" s="1104" t="s">
        <v>798</v>
      </c>
      <c r="J5" s="1115" t="s">
        <v>1057</v>
      </c>
      <c r="K5" s="1104">
        <v>5</v>
      </c>
      <c r="L5" s="1104">
        <v>70125</v>
      </c>
      <c r="M5" s="1277">
        <v>927500</v>
      </c>
      <c r="N5" s="1277">
        <v>463750</v>
      </c>
      <c r="O5" s="1280">
        <v>38314</v>
      </c>
      <c r="P5" s="1283">
        <v>30</v>
      </c>
      <c r="Q5" s="1110">
        <f>P5/12</f>
        <v>2.5</v>
      </c>
      <c r="R5" s="1286">
        <f>O5+(P5*365/12)</f>
        <v>39226.5</v>
      </c>
      <c r="S5" s="1289" t="s">
        <v>434</v>
      </c>
      <c r="T5" s="1292">
        <v>793500</v>
      </c>
      <c r="U5" s="1292">
        <v>1211</v>
      </c>
      <c r="V5" s="1205" t="s">
        <v>931</v>
      </c>
      <c r="W5" s="1138">
        <v>2476.73</v>
      </c>
      <c r="X5" s="1138"/>
      <c r="Y5" s="1138"/>
      <c r="Z5" s="1139">
        <v>39751</v>
      </c>
      <c r="AA5" s="1204" t="s">
        <v>1475</v>
      </c>
      <c r="AB5" s="1163">
        <v>333</v>
      </c>
      <c r="AC5" s="1208">
        <v>39967</v>
      </c>
    </row>
    <row r="6" spans="1:29" ht="12.75">
      <c r="A6" s="1269"/>
      <c r="B6" s="1272"/>
      <c r="C6" s="1275"/>
      <c r="D6" s="1275"/>
      <c r="E6" s="1106"/>
      <c r="F6" s="1107"/>
      <c r="G6" s="1125"/>
      <c r="H6" s="1104"/>
      <c r="I6" s="1104"/>
      <c r="J6" s="1115"/>
      <c r="K6" s="1104"/>
      <c r="L6" s="1104"/>
      <c r="M6" s="1278"/>
      <c r="N6" s="1278"/>
      <c r="O6" s="1281"/>
      <c r="P6" s="1284"/>
      <c r="Q6" s="1110"/>
      <c r="R6" s="1287"/>
      <c r="S6" s="1290"/>
      <c r="T6" s="1293"/>
      <c r="U6" s="1293"/>
      <c r="V6" s="1205" t="s">
        <v>929</v>
      </c>
      <c r="W6" s="1214">
        <v>2634.53</v>
      </c>
      <c r="X6" s="1138"/>
      <c r="Y6" s="1138"/>
      <c r="Z6" s="1139"/>
      <c r="AA6" s="1204"/>
      <c r="AB6" s="1163">
        <v>70</v>
      </c>
      <c r="AC6" s="1208">
        <v>39850</v>
      </c>
    </row>
    <row r="7" spans="1:29" ht="12.75">
      <c r="A7" s="1270"/>
      <c r="B7" s="1273"/>
      <c r="C7" s="1276"/>
      <c r="D7" s="1276"/>
      <c r="E7" s="1106"/>
      <c r="F7" s="1107"/>
      <c r="G7" s="1125"/>
      <c r="H7" s="1104"/>
      <c r="I7" s="1104"/>
      <c r="J7" s="1115"/>
      <c r="K7" s="1104"/>
      <c r="L7" s="1104"/>
      <c r="M7" s="1279"/>
      <c r="N7" s="1279"/>
      <c r="O7" s="1282"/>
      <c r="P7" s="1285"/>
      <c r="Q7" s="1110"/>
      <c r="R7" s="1288"/>
      <c r="S7" s="1291"/>
      <c r="T7" s="1294"/>
      <c r="U7" s="1294"/>
      <c r="V7" s="1205" t="s">
        <v>930</v>
      </c>
      <c r="W7" s="1214">
        <v>2583.86</v>
      </c>
      <c r="X7" s="1138"/>
      <c r="Y7" s="1138"/>
      <c r="Z7" s="1139"/>
      <c r="AA7" s="1204"/>
      <c r="AB7" s="1163">
        <v>71</v>
      </c>
      <c r="AC7" s="1208">
        <v>39850</v>
      </c>
    </row>
    <row r="8" spans="1:29" ht="12" customHeight="1">
      <c r="A8" s="1268">
        <v>18</v>
      </c>
      <c r="B8" s="1271">
        <v>39</v>
      </c>
      <c r="C8" s="1274" t="s">
        <v>847</v>
      </c>
      <c r="D8" s="1274" t="s">
        <v>751</v>
      </c>
      <c r="E8" s="1106" t="s">
        <v>1403</v>
      </c>
      <c r="F8" s="1107" t="s">
        <v>1194</v>
      </c>
      <c r="G8" s="1125" t="s">
        <v>155</v>
      </c>
      <c r="H8" s="1104" t="s">
        <v>849</v>
      </c>
      <c r="I8" s="1104" t="s">
        <v>804</v>
      </c>
      <c r="J8" s="1115" t="s">
        <v>850</v>
      </c>
      <c r="K8" s="1104">
        <v>97</v>
      </c>
      <c r="L8" s="1104">
        <v>73010</v>
      </c>
      <c r="M8" s="1277">
        <v>747610</v>
      </c>
      <c r="N8" s="1277">
        <v>485946.5</v>
      </c>
      <c r="O8" s="1280">
        <v>37988</v>
      </c>
      <c r="P8" s="1283">
        <f>36+6</f>
        <v>42</v>
      </c>
      <c r="Q8" s="1110">
        <f>P8/12</f>
        <v>3.5</v>
      </c>
      <c r="R8" s="1286">
        <f>O8+(P8*365/12)</f>
        <v>39265.5</v>
      </c>
      <c r="S8" s="1289" t="s">
        <v>434</v>
      </c>
      <c r="T8" s="1292">
        <v>747610</v>
      </c>
      <c r="U8" s="1292">
        <v>1211</v>
      </c>
      <c r="V8" s="1205" t="s">
        <v>937</v>
      </c>
      <c r="W8" s="1138">
        <v>2880.31</v>
      </c>
      <c r="X8" s="1138"/>
      <c r="Y8" s="1138"/>
      <c r="Z8" s="1139">
        <v>39708</v>
      </c>
      <c r="AA8" s="1204" t="s">
        <v>1475</v>
      </c>
      <c r="AB8" s="1163">
        <v>73</v>
      </c>
      <c r="AC8" s="1208">
        <v>39850</v>
      </c>
    </row>
    <row r="9" spans="1:29" ht="12.75">
      <c r="A9" s="1269"/>
      <c r="B9" s="1272"/>
      <c r="C9" s="1275"/>
      <c r="D9" s="1275"/>
      <c r="E9" s="1106"/>
      <c r="F9" s="1107"/>
      <c r="G9" s="1125"/>
      <c r="H9" s="1104"/>
      <c r="I9" s="1104"/>
      <c r="J9" s="1115"/>
      <c r="K9" s="1104"/>
      <c r="L9" s="1104"/>
      <c r="M9" s="1278"/>
      <c r="N9" s="1278"/>
      <c r="O9" s="1281"/>
      <c r="P9" s="1284"/>
      <c r="Q9" s="1110"/>
      <c r="R9" s="1287"/>
      <c r="S9" s="1290"/>
      <c r="T9" s="1293"/>
      <c r="U9" s="1293"/>
      <c r="V9" s="1205" t="s">
        <v>932</v>
      </c>
      <c r="W9" s="1138">
        <v>2634.53</v>
      </c>
      <c r="X9" s="1138"/>
      <c r="Y9" s="1138"/>
      <c r="Z9" s="1139"/>
      <c r="AA9" s="1204"/>
      <c r="AB9" s="1163">
        <v>72</v>
      </c>
      <c r="AC9" s="1208">
        <v>39850</v>
      </c>
    </row>
    <row r="10" spans="1:29" ht="12.75">
      <c r="A10" s="1270"/>
      <c r="B10" s="1273"/>
      <c r="C10" s="1276"/>
      <c r="D10" s="1276"/>
      <c r="E10" s="1106"/>
      <c r="F10" s="1107"/>
      <c r="G10" s="1125"/>
      <c r="H10" s="1104"/>
      <c r="I10" s="1104"/>
      <c r="J10" s="1115"/>
      <c r="K10" s="1104"/>
      <c r="L10" s="1104"/>
      <c r="M10" s="1279"/>
      <c r="N10" s="1279"/>
      <c r="O10" s="1282"/>
      <c r="P10" s="1285"/>
      <c r="Q10" s="1110"/>
      <c r="R10" s="1288"/>
      <c r="S10" s="1291"/>
      <c r="T10" s="1294"/>
      <c r="U10" s="1294"/>
      <c r="V10" s="1205" t="s">
        <v>933</v>
      </c>
      <c r="W10" s="1138">
        <v>2213.94</v>
      </c>
      <c r="X10" s="1138"/>
      <c r="Y10" s="1138"/>
      <c r="Z10" s="1139"/>
      <c r="AA10" s="1204"/>
      <c r="AB10" s="1163">
        <v>487</v>
      </c>
      <c r="AC10" s="1135" t="s">
        <v>934</v>
      </c>
    </row>
    <row r="11" spans="1:29" ht="12.75" customHeight="1">
      <c r="A11" s="1268">
        <v>19</v>
      </c>
      <c r="B11" s="1271">
        <v>41</v>
      </c>
      <c r="C11" s="1274" t="s">
        <v>808</v>
      </c>
      <c r="D11" s="1274" t="s">
        <v>752</v>
      </c>
      <c r="E11" s="1106" t="s">
        <v>1459</v>
      </c>
      <c r="F11" s="1107" t="s">
        <v>1195</v>
      </c>
      <c r="G11" s="1125" t="s">
        <v>23</v>
      </c>
      <c r="H11" s="1104" t="s">
        <v>803</v>
      </c>
      <c r="I11" s="1104" t="s">
        <v>804</v>
      </c>
      <c r="J11" s="1115" t="s">
        <v>811</v>
      </c>
      <c r="K11" s="1104">
        <v>31</v>
      </c>
      <c r="L11" s="1104">
        <v>73100</v>
      </c>
      <c r="M11" s="1277">
        <v>1617000</v>
      </c>
      <c r="N11" s="1277">
        <v>808500</v>
      </c>
      <c r="O11" s="1280">
        <v>38559</v>
      </c>
      <c r="P11" s="1283">
        <f>12+4+6+5</f>
        <v>27</v>
      </c>
      <c r="Q11" s="1110">
        <f>P11/12</f>
        <v>2.25</v>
      </c>
      <c r="R11" s="1286">
        <f>O11+(P11*365/12)</f>
        <v>39380.25</v>
      </c>
      <c r="S11" s="1289" t="s">
        <v>434</v>
      </c>
      <c r="T11" s="1295">
        <v>1617000</v>
      </c>
      <c r="U11" s="1292">
        <f>1211+(((1617000-1549371)*(1435-1211))/(2000000-1549371))</f>
        <v>1244.6172239247808</v>
      </c>
      <c r="V11" s="1140" t="s">
        <v>935</v>
      </c>
      <c r="W11" s="1141">
        <v>2929.7</v>
      </c>
      <c r="X11" s="1141" t="s">
        <v>584</v>
      </c>
      <c r="Y11" s="1142" t="s">
        <v>1470</v>
      </c>
      <c r="Z11" s="1139">
        <v>39793</v>
      </c>
      <c r="AA11" s="1143"/>
      <c r="AB11" s="1163">
        <v>589</v>
      </c>
      <c r="AC11" s="1208">
        <v>40085</v>
      </c>
    </row>
    <row r="12" spans="1:29" ht="12.75">
      <c r="A12" s="1269"/>
      <c r="B12" s="1272"/>
      <c r="C12" s="1275"/>
      <c r="D12" s="1275"/>
      <c r="E12" s="1106"/>
      <c r="F12" s="1107"/>
      <c r="G12" s="1125"/>
      <c r="H12" s="1104"/>
      <c r="I12" s="1104"/>
      <c r="J12" s="1115"/>
      <c r="K12" s="1104"/>
      <c r="L12" s="1104"/>
      <c r="M12" s="1278"/>
      <c r="N12" s="1278"/>
      <c r="O12" s="1281"/>
      <c r="P12" s="1284"/>
      <c r="Q12" s="1110"/>
      <c r="R12" s="1287"/>
      <c r="S12" s="1290"/>
      <c r="T12" s="1296"/>
      <c r="U12" s="1293"/>
      <c r="V12" s="1140" t="s">
        <v>936</v>
      </c>
      <c r="W12" s="1215">
        <v>2679.33</v>
      </c>
      <c r="X12" s="1141"/>
      <c r="Y12" s="1142"/>
      <c r="Z12" s="1139"/>
      <c r="AA12" s="1143"/>
      <c r="AB12" s="1163">
        <v>590</v>
      </c>
      <c r="AC12" s="1208">
        <v>40085</v>
      </c>
    </row>
    <row r="13" spans="1:29" ht="12.75">
      <c r="A13" s="1270"/>
      <c r="B13" s="1273"/>
      <c r="C13" s="1276"/>
      <c r="D13" s="1276"/>
      <c r="E13" s="1106"/>
      <c r="F13" s="1107"/>
      <c r="G13" s="1125"/>
      <c r="H13" s="1104"/>
      <c r="I13" s="1104"/>
      <c r="J13" s="1115"/>
      <c r="K13" s="1104"/>
      <c r="L13" s="1104"/>
      <c r="M13" s="1279"/>
      <c r="N13" s="1279"/>
      <c r="O13" s="1282"/>
      <c r="P13" s="1285"/>
      <c r="Q13" s="1110"/>
      <c r="R13" s="1288"/>
      <c r="S13" s="1291"/>
      <c r="T13" s="1297"/>
      <c r="U13" s="1294"/>
      <c r="V13" s="1140" t="s">
        <v>933</v>
      </c>
      <c r="W13" s="1215">
        <v>2250.41</v>
      </c>
      <c r="X13" s="1141"/>
      <c r="Y13" s="1142"/>
      <c r="Z13" s="1139"/>
      <c r="AA13" s="1143"/>
      <c r="AB13" s="1163">
        <v>591</v>
      </c>
      <c r="AC13" s="1208">
        <v>40085</v>
      </c>
    </row>
    <row r="14" spans="1:29" ht="14.25" customHeight="1">
      <c r="A14" s="1268">
        <v>6</v>
      </c>
      <c r="B14" s="1271">
        <v>12</v>
      </c>
      <c r="C14" s="1274" t="s">
        <v>907</v>
      </c>
      <c r="D14" s="1274" t="s">
        <v>908</v>
      </c>
      <c r="E14" s="1106" t="s">
        <v>358</v>
      </c>
      <c r="F14" s="1144" t="s">
        <v>409</v>
      </c>
      <c r="G14" s="1125" t="s">
        <v>1400</v>
      </c>
      <c r="H14" s="1104" t="s">
        <v>845</v>
      </c>
      <c r="I14" s="1104" t="s">
        <v>798</v>
      </c>
      <c r="J14" s="1115" t="s">
        <v>1158</v>
      </c>
      <c r="K14" s="1104">
        <v>50</v>
      </c>
      <c r="L14" s="1104">
        <v>70022</v>
      </c>
      <c r="M14" s="1277">
        <v>305344</v>
      </c>
      <c r="N14" s="1277">
        <v>152672</v>
      </c>
      <c r="O14" s="1280">
        <v>38293</v>
      </c>
      <c r="P14" s="1283">
        <f>30+6</f>
        <v>36</v>
      </c>
      <c r="Q14" s="1110">
        <f>P14/12</f>
        <v>3</v>
      </c>
      <c r="R14" s="1286">
        <f>O14+(P14*365/12)</f>
        <v>39388</v>
      </c>
      <c r="S14" s="1289" t="s">
        <v>434</v>
      </c>
      <c r="T14" s="1295"/>
      <c r="U14" s="1295">
        <v>1211</v>
      </c>
      <c r="V14" s="1140" t="s">
        <v>939</v>
      </c>
      <c r="W14" s="1138">
        <v>2880.31</v>
      </c>
      <c r="X14" s="1138"/>
      <c r="Y14" s="1138"/>
      <c r="Z14" s="1137"/>
      <c r="AA14" s="1143"/>
      <c r="AB14" s="1135">
        <v>520</v>
      </c>
      <c r="AC14" s="1208">
        <v>40050</v>
      </c>
    </row>
    <row r="15" spans="1:29" ht="12.75">
      <c r="A15" s="1269"/>
      <c r="B15" s="1272"/>
      <c r="C15" s="1275"/>
      <c r="D15" s="1275"/>
      <c r="E15" s="1106"/>
      <c r="F15" s="1144"/>
      <c r="G15" s="1125"/>
      <c r="H15" s="1104"/>
      <c r="I15" s="1104"/>
      <c r="J15" s="1115"/>
      <c r="K15" s="1104"/>
      <c r="L15" s="1104"/>
      <c r="M15" s="1278"/>
      <c r="N15" s="1278"/>
      <c r="O15" s="1281"/>
      <c r="P15" s="1284"/>
      <c r="Q15" s="1110"/>
      <c r="R15" s="1287"/>
      <c r="S15" s="1290"/>
      <c r="T15" s="1296"/>
      <c r="U15" s="1296"/>
      <c r="V15" s="1140" t="s">
        <v>938</v>
      </c>
      <c r="W15" s="1138">
        <v>2634.53</v>
      </c>
      <c r="X15" s="1138"/>
      <c r="Y15" s="1138"/>
      <c r="Z15" s="1137"/>
      <c r="AA15" s="1143"/>
      <c r="AB15" s="1135">
        <v>521</v>
      </c>
      <c r="AC15" s="1208">
        <v>40050</v>
      </c>
    </row>
    <row r="16" spans="1:29" ht="12.75">
      <c r="A16" s="1270"/>
      <c r="B16" s="1273"/>
      <c r="C16" s="1276"/>
      <c r="D16" s="1276"/>
      <c r="E16" s="1106"/>
      <c r="F16" s="1144"/>
      <c r="G16" s="1125"/>
      <c r="H16" s="1104"/>
      <c r="I16" s="1104"/>
      <c r="J16" s="1115"/>
      <c r="K16" s="1104"/>
      <c r="L16" s="1104"/>
      <c r="M16" s="1279"/>
      <c r="N16" s="1279"/>
      <c r="O16" s="1282"/>
      <c r="P16" s="1285"/>
      <c r="Q16" s="1110"/>
      <c r="R16" s="1288"/>
      <c r="S16" s="1291"/>
      <c r="T16" s="1297"/>
      <c r="U16" s="1297"/>
      <c r="V16" s="1140" t="s">
        <v>933</v>
      </c>
      <c r="W16" s="1138">
        <v>2213.94</v>
      </c>
      <c r="X16" s="1138"/>
      <c r="Y16" s="1138"/>
      <c r="Z16" s="1137"/>
      <c r="AA16" s="1143"/>
      <c r="AB16" s="1135">
        <v>587</v>
      </c>
      <c r="AC16" s="1208">
        <v>40085</v>
      </c>
    </row>
    <row r="17" spans="1:29" ht="12" customHeight="1">
      <c r="A17" s="1268">
        <v>16</v>
      </c>
      <c r="B17" s="1271">
        <v>32</v>
      </c>
      <c r="C17" s="1274" t="s">
        <v>388</v>
      </c>
      <c r="D17" s="1274" t="s">
        <v>749</v>
      </c>
      <c r="E17" s="1106" t="s">
        <v>359</v>
      </c>
      <c r="F17" s="1107" t="s">
        <v>1183</v>
      </c>
      <c r="G17" s="1125" t="s">
        <v>425</v>
      </c>
      <c r="H17" s="1104" t="s">
        <v>814</v>
      </c>
      <c r="I17" s="1104" t="s">
        <v>798</v>
      </c>
      <c r="J17" s="1115" t="s">
        <v>815</v>
      </c>
      <c r="K17" s="1104">
        <v>2</v>
      </c>
      <c r="L17" s="1104">
        <v>70017</v>
      </c>
      <c r="M17" s="1277">
        <v>1013940</v>
      </c>
      <c r="N17" s="1277">
        <v>659061</v>
      </c>
      <c r="O17" s="1280">
        <v>38139</v>
      </c>
      <c r="P17" s="1283">
        <f>36+6</f>
        <v>42</v>
      </c>
      <c r="Q17" s="1110">
        <f>P17/12</f>
        <v>3.5</v>
      </c>
      <c r="R17" s="1286">
        <f>O17+(P17*365/12)</f>
        <v>39416.5</v>
      </c>
      <c r="S17" s="1289" t="s">
        <v>434</v>
      </c>
      <c r="T17" s="1295"/>
      <c r="U17" s="1295">
        <v>1211</v>
      </c>
      <c r="V17" s="1140" t="s">
        <v>941</v>
      </c>
      <c r="W17" s="1138">
        <v>2353.2</v>
      </c>
      <c r="X17" s="1138"/>
      <c r="Y17" s="1138"/>
      <c r="Z17" s="1137"/>
      <c r="AA17" s="1143"/>
      <c r="AB17" s="1135">
        <v>697</v>
      </c>
      <c r="AC17" s="1208">
        <v>40116</v>
      </c>
    </row>
    <row r="18" spans="1:29" ht="12.75">
      <c r="A18" s="1269"/>
      <c r="B18" s="1272"/>
      <c r="C18" s="1275"/>
      <c r="D18" s="1275"/>
      <c r="E18" s="1106"/>
      <c r="F18" s="1107"/>
      <c r="G18" s="1125"/>
      <c r="H18" s="1104"/>
      <c r="I18" s="1104"/>
      <c r="J18" s="1115"/>
      <c r="K18" s="1104"/>
      <c r="L18" s="1104"/>
      <c r="M18" s="1278"/>
      <c r="N18" s="1278"/>
      <c r="O18" s="1281"/>
      <c r="P18" s="1284"/>
      <c r="Q18" s="1110"/>
      <c r="R18" s="1287"/>
      <c r="S18" s="1290"/>
      <c r="T18" s="1296"/>
      <c r="U18" s="1296"/>
      <c r="V18" s="1140" t="s">
        <v>940</v>
      </c>
      <c r="W18" s="1138">
        <v>2111</v>
      </c>
      <c r="X18" s="1138"/>
      <c r="Y18" s="1138"/>
      <c r="Z18" s="1137"/>
      <c r="AA18" s="1143"/>
      <c r="AB18" s="1135">
        <v>696</v>
      </c>
      <c r="AC18" s="1208">
        <v>40116</v>
      </c>
    </row>
    <row r="19" spans="1:29" ht="12.75">
      <c r="A19" s="1270"/>
      <c r="B19" s="1273"/>
      <c r="C19" s="1276"/>
      <c r="D19" s="1276"/>
      <c r="E19" s="1106"/>
      <c r="F19" s="1107"/>
      <c r="G19" s="1125"/>
      <c r="H19" s="1104"/>
      <c r="I19" s="1104"/>
      <c r="J19" s="1115"/>
      <c r="K19" s="1104"/>
      <c r="L19" s="1104"/>
      <c r="M19" s="1279"/>
      <c r="N19" s="1279"/>
      <c r="O19" s="1282"/>
      <c r="P19" s="1285"/>
      <c r="Q19" s="1110"/>
      <c r="R19" s="1288"/>
      <c r="S19" s="1291"/>
      <c r="T19" s="1297"/>
      <c r="U19" s="1297"/>
      <c r="V19" s="1140" t="s">
        <v>933</v>
      </c>
      <c r="W19" s="1138">
        <v>2111</v>
      </c>
      <c r="X19" s="1138"/>
      <c r="Y19" s="1138"/>
      <c r="Z19" s="1137"/>
      <c r="AA19" s="1143"/>
      <c r="AB19" s="1135">
        <v>698</v>
      </c>
      <c r="AC19" s="1208">
        <v>40116</v>
      </c>
    </row>
    <row r="20" spans="1:27" ht="12" customHeight="1">
      <c r="A20" s="1268">
        <v>1</v>
      </c>
      <c r="B20" s="1271">
        <v>3</v>
      </c>
      <c r="C20" s="1274" t="s">
        <v>791</v>
      </c>
      <c r="D20" s="1274" t="s">
        <v>792</v>
      </c>
      <c r="E20" s="1106" t="s">
        <v>360</v>
      </c>
      <c r="F20" s="1107" t="s">
        <v>1184</v>
      </c>
      <c r="G20" s="1125" t="s">
        <v>1143</v>
      </c>
      <c r="H20" s="1104" t="s">
        <v>797</v>
      </c>
      <c r="I20" s="1104" t="s">
        <v>798</v>
      </c>
      <c r="J20" s="1115" t="s">
        <v>799</v>
      </c>
      <c r="K20" s="1104">
        <v>22</v>
      </c>
      <c r="L20" s="1104">
        <v>70124</v>
      </c>
      <c r="M20" s="1277">
        <v>4455065.892</v>
      </c>
      <c r="N20" s="1277">
        <v>2500000</v>
      </c>
      <c r="O20" s="1280">
        <v>38117</v>
      </c>
      <c r="P20" s="1283">
        <f>36+6+0.73</f>
        <v>42.73</v>
      </c>
      <c r="Q20" s="1110">
        <f>P20/12</f>
        <v>3.560833333333333</v>
      </c>
      <c r="R20" s="1286">
        <f>O20+(P20*365/12)</f>
        <v>39416.70416666667</v>
      </c>
      <c r="S20" s="1289" t="s">
        <v>434</v>
      </c>
      <c r="T20" s="1295">
        <v>3585773.92</v>
      </c>
      <c r="U20" s="1292">
        <f>1880+(3585773.92-3000000)*(2276-1880)/(4000000-3000000)</f>
        <v>2111.96647232</v>
      </c>
      <c r="V20" s="1140" t="s">
        <v>944</v>
      </c>
      <c r="W20" s="1216">
        <f>+U20*1.2+900</f>
        <v>3434.359766784</v>
      </c>
      <c r="X20" s="1140" t="s">
        <v>584</v>
      </c>
      <c r="Y20" s="1142">
        <v>39765</v>
      </c>
      <c r="Z20" s="1142">
        <v>39779</v>
      </c>
      <c r="AA20" s="1143"/>
    </row>
    <row r="21" spans="1:29" ht="12.75">
      <c r="A21" s="1269"/>
      <c r="B21" s="1272"/>
      <c r="C21" s="1275"/>
      <c r="D21" s="1275"/>
      <c r="E21" s="1106"/>
      <c r="F21" s="1107"/>
      <c r="G21" s="1125"/>
      <c r="H21" s="1104"/>
      <c r="I21" s="1104"/>
      <c r="J21" s="1115"/>
      <c r="K21" s="1104"/>
      <c r="L21" s="1104"/>
      <c r="M21" s="1278"/>
      <c r="N21" s="1278"/>
      <c r="O21" s="1281"/>
      <c r="P21" s="1284"/>
      <c r="Q21" s="1110"/>
      <c r="R21" s="1287"/>
      <c r="S21" s="1290"/>
      <c r="T21" s="1296"/>
      <c r="U21" s="1293"/>
      <c r="V21" s="1140" t="s">
        <v>942</v>
      </c>
      <c r="W21" s="1217">
        <v>3686.65</v>
      </c>
      <c r="X21" s="1140"/>
      <c r="Y21" s="1142"/>
      <c r="Z21" s="1142"/>
      <c r="AA21" s="1143"/>
      <c r="AB21" s="1135">
        <v>517</v>
      </c>
      <c r="AC21" s="1208">
        <v>40050</v>
      </c>
    </row>
    <row r="22" spans="1:29" ht="12.75">
      <c r="A22" s="1270"/>
      <c r="B22" s="1273"/>
      <c r="C22" s="1276"/>
      <c r="D22" s="1276"/>
      <c r="E22" s="1106"/>
      <c r="F22" s="1107"/>
      <c r="G22" s="1125"/>
      <c r="H22" s="1104"/>
      <c r="I22" s="1104"/>
      <c r="J22" s="1115"/>
      <c r="K22" s="1104"/>
      <c r="L22" s="1104"/>
      <c r="M22" s="1279"/>
      <c r="N22" s="1279"/>
      <c r="O22" s="1282"/>
      <c r="P22" s="1285"/>
      <c r="Q22" s="1110"/>
      <c r="R22" s="1288"/>
      <c r="S22" s="1291"/>
      <c r="T22" s="1297"/>
      <c r="U22" s="1294"/>
      <c r="V22" s="1140" t="s">
        <v>943</v>
      </c>
      <c r="W22" s="1217">
        <v>3758.94</v>
      </c>
      <c r="X22" s="1140"/>
      <c r="Y22" s="1142"/>
      <c r="Z22" s="1142"/>
      <c r="AA22" s="1143"/>
      <c r="AB22" s="1135">
        <v>332</v>
      </c>
      <c r="AC22" s="1208">
        <v>39967</v>
      </c>
    </row>
    <row r="23" spans="1:29" ht="12" customHeight="1">
      <c r="A23" s="1268">
        <v>22</v>
      </c>
      <c r="B23" s="1271">
        <v>46</v>
      </c>
      <c r="C23" s="1274" t="s">
        <v>140</v>
      </c>
      <c r="D23" s="1274" t="s">
        <v>756</v>
      </c>
      <c r="E23" s="1106" t="s">
        <v>51</v>
      </c>
      <c r="F23" s="1107" t="s">
        <v>1357</v>
      </c>
      <c r="G23" s="1125" t="s">
        <v>410</v>
      </c>
      <c r="H23" s="1104" t="s">
        <v>903</v>
      </c>
      <c r="I23" s="1104" t="s">
        <v>904</v>
      </c>
      <c r="J23" s="1115" t="s">
        <v>1392</v>
      </c>
      <c r="K23" s="1104">
        <v>93</v>
      </c>
      <c r="L23" s="1104">
        <v>71100</v>
      </c>
      <c r="M23" s="1277">
        <v>627964</v>
      </c>
      <c r="N23" s="1277">
        <v>408176.6</v>
      </c>
      <c r="O23" s="1280">
        <v>38961</v>
      </c>
      <c r="P23" s="1283">
        <v>15</v>
      </c>
      <c r="Q23" s="1110">
        <f>P23/12</f>
        <v>1.25</v>
      </c>
      <c r="R23" s="1286">
        <f>O23+(P23*365/12)</f>
        <v>39417.25</v>
      </c>
      <c r="S23" s="1289" t="s">
        <v>434</v>
      </c>
      <c r="T23" s="1292">
        <v>627964</v>
      </c>
      <c r="U23" s="1292">
        <v>1211</v>
      </c>
      <c r="V23" s="1140" t="s">
        <v>947</v>
      </c>
      <c r="W23" s="1138">
        <v>2583.86</v>
      </c>
      <c r="X23" s="1141" t="s">
        <v>584</v>
      </c>
      <c r="Y23" s="1142">
        <v>39742</v>
      </c>
      <c r="Z23" s="1142" t="s">
        <v>1471</v>
      </c>
      <c r="AA23" s="1143"/>
      <c r="AB23" s="1135">
        <v>243</v>
      </c>
      <c r="AC23" s="1208">
        <v>39931</v>
      </c>
    </row>
    <row r="24" spans="1:29" ht="12.75">
      <c r="A24" s="1269"/>
      <c r="B24" s="1272"/>
      <c r="C24" s="1275"/>
      <c r="D24" s="1275"/>
      <c r="E24" s="1106"/>
      <c r="F24" s="1107"/>
      <c r="G24" s="1125"/>
      <c r="H24" s="1104"/>
      <c r="I24" s="1104"/>
      <c r="J24" s="1115"/>
      <c r="K24" s="1104"/>
      <c r="L24" s="1104"/>
      <c r="M24" s="1278"/>
      <c r="N24" s="1278"/>
      <c r="O24" s="1281"/>
      <c r="P24" s="1284"/>
      <c r="Q24" s="1110"/>
      <c r="R24" s="1287"/>
      <c r="S24" s="1290"/>
      <c r="T24" s="1293"/>
      <c r="U24" s="1293"/>
      <c r="V24" s="1140" t="s">
        <v>946</v>
      </c>
      <c r="W24" s="1138">
        <v>2936.8</v>
      </c>
      <c r="X24" s="1141"/>
      <c r="Y24" s="1142"/>
      <c r="Z24" s="1142"/>
      <c r="AA24" s="1143"/>
      <c r="AB24" s="1135">
        <v>244</v>
      </c>
      <c r="AC24" s="1208">
        <v>39931</v>
      </c>
    </row>
    <row r="25" spans="1:29" ht="12.75">
      <c r="A25" s="1270"/>
      <c r="B25" s="1273"/>
      <c r="C25" s="1276"/>
      <c r="D25" s="1276"/>
      <c r="E25" s="1106"/>
      <c r="F25" s="1107"/>
      <c r="G25" s="1125"/>
      <c r="H25" s="1104"/>
      <c r="I25" s="1104"/>
      <c r="J25" s="1115"/>
      <c r="K25" s="1104"/>
      <c r="L25" s="1104"/>
      <c r="M25" s="1279"/>
      <c r="N25" s="1279"/>
      <c r="O25" s="1282"/>
      <c r="P25" s="1285"/>
      <c r="Q25" s="1110"/>
      <c r="R25" s="1288"/>
      <c r="S25" s="1291"/>
      <c r="T25" s="1294"/>
      <c r="U25" s="1294"/>
      <c r="V25" s="1140" t="s">
        <v>945</v>
      </c>
      <c r="W25" s="1138">
        <v>2213.93</v>
      </c>
      <c r="X25" s="1141"/>
      <c r="Y25" s="1142"/>
      <c r="Z25" s="1142"/>
      <c r="AA25" s="1143"/>
      <c r="AB25" s="1135">
        <v>242</v>
      </c>
      <c r="AC25" s="1208">
        <v>39931</v>
      </c>
    </row>
    <row r="26" spans="1:29" ht="11.25" customHeight="1">
      <c r="A26" s="1268">
        <v>13</v>
      </c>
      <c r="B26" s="1271">
        <v>29</v>
      </c>
      <c r="C26" s="1274" t="s">
        <v>290</v>
      </c>
      <c r="D26" s="1274" t="s">
        <v>748</v>
      </c>
      <c r="E26" s="1106" t="s">
        <v>1026</v>
      </c>
      <c r="F26" s="1107" t="s">
        <v>1189</v>
      </c>
      <c r="G26" s="1125" t="s">
        <v>1025</v>
      </c>
      <c r="H26" s="1104" t="s">
        <v>797</v>
      </c>
      <c r="I26" s="1104" t="s">
        <v>798</v>
      </c>
      <c r="J26" s="1115" t="s">
        <v>282</v>
      </c>
      <c r="K26" s="1104" t="s">
        <v>285</v>
      </c>
      <c r="L26" s="1104">
        <v>70124</v>
      </c>
      <c r="M26" s="1277">
        <v>2240428.8</v>
      </c>
      <c r="N26" s="1277">
        <v>1456278.72</v>
      </c>
      <c r="O26" s="1280">
        <v>38077</v>
      </c>
      <c r="P26" s="1283">
        <f>36+6+3</f>
        <v>45</v>
      </c>
      <c r="Q26" s="1110">
        <f>P26/12</f>
        <v>3.75</v>
      </c>
      <c r="R26" s="1286">
        <f>O26+(P26*365/12)</f>
        <v>39445.75</v>
      </c>
      <c r="S26" s="1289" t="s">
        <v>434</v>
      </c>
      <c r="T26" s="1292">
        <v>2240428.8</v>
      </c>
      <c r="U26" s="1292">
        <f>1435+(2240428.8-2000000)*(1880-1435)/(3000000-2000000)</f>
        <v>1541.990816</v>
      </c>
      <c r="V26" s="1140" t="s">
        <v>950</v>
      </c>
      <c r="W26" s="1141">
        <v>3501.14</v>
      </c>
      <c r="X26" s="1141" t="s">
        <v>584</v>
      </c>
      <c r="Y26" s="1142">
        <v>39756</v>
      </c>
      <c r="Z26" s="1142">
        <v>39769</v>
      </c>
      <c r="AA26" s="1204" t="s">
        <v>1475</v>
      </c>
      <c r="AB26" s="1135">
        <v>125</v>
      </c>
      <c r="AC26" s="1208">
        <v>39888</v>
      </c>
    </row>
    <row r="27" spans="1:29" ht="12.75">
      <c r="A27" s="1269"/>
      <c r="B27" s="1272"/>
      <c r="C27" s="1275"/>
      <c r="D27" s="1275"/>
      <c r="E27" s="1106"/>
      <c r="F27" s="1107"/>
      <c r="G27" s="1125"/>
      <c r="H27" s="1104"/>
      <c r="I27" s="1104"/>
      <c r="J27" s="1115"/>
      <c r="K27" s="1104"/>
      <c r="L27" s="1104"/>
      <c r="M27" s="1278"/>
      <c r="N27" s="1278"/>
      <c r="O27" s="1281"/>
      <c r="P27" s="1284"/>
      <c r="Q27" s="1110"/>
      <c r="R27" s="1287"/>
      <c r="S27" s="1290"/>
      <c r="T27" s="1293"/>
      <c r="U27" s="1293"/>
      <c r="V27" s="1140" t="s">
        <v>949</v>
      </c>
      <c r="W27" s="1215">
        <v>3047.6</v>
      </c>
      <c r="X27" s="1141"/>
      <c r="Y27" s="1142"/>
      <c r="Z27" s="1142"/>
      <c r="AA27" s="1204"/>
      <c r="AB27" s="1135">
        <v>124</v>
      </c>
      <c r="AC27" s="1208">
        <v>39888</v>
      </c>
    </row>
    <row r="28" spans="1:29" ht="12.75">
      <c r="A28" s="1270"/>
      <c r="B28" s="1273"/>
      <c r="C28" s="1276"/>
      <c r="D28" s="1276"/>
      <c r="E28" s="1106"/>
      <c r="F28" s="1107"/>
      <c r="G28" s="1125"/>
      <c r="H28" s="1104"/>
      <c r="I28" s="1104"/>
      <c r="J28" s="1115"/>
      <c r="K28" s="1104"/>
      <c r="L28" s="1104"/>
      <c r="M28" s="1279"/>
      <c r="N28" s="1279"/>
      <c r="O28" s="1282"/>
      <c r="P28" s="1285"/>
      <c r="Q28" s="1110"/>
      <c r="R28" s="1288"/>
      <c r="S28" s="1291"/>
      <c r="T28" s="1294"/>
      <c r="U28" s="1294"/>
      <c r="V28" s="1140" t="s">
        <v>948</v>
      </c>
      <c r="W28" s="1215">
        <f>+U26+900</f>
        <v>2441.990816</v>
      </c>
      <c r="X28" s="1141"/>
      <c r="Y28" s="1142"/>
      <c r="Z28" s="1142"/>
      <c r="AA28" s="1204"/>
      <c r="AB28" s="1135">
        <v>126</v>
      </c>
      <c r="AC28" s="1208">
        <v>39888</v>
      </c>
    </row>
    <row r="29" spans="1:29" ht="12.75" customHeight="1">
      <c r="A29" s="1274">
        <v>7</v>
      </c>
      <c r="B29" s="1298">
        <v>14</v>
      </c>
      <c r="C29" s="1274" t="s">
        <v>869</v>
      </c>
      <c r="D29" s="1274" t="s">
        <v>483</v>
      </c>
      <c r="E29" s="1106" t="s">
        <v>1449</v>
      </c>
      <c r="F29" s="1107" t="s">
        <v>1177</v>
      </c>
      <c r="G29" s="1125" t="s">
        <v>1126</v>
      </c>
      <c r="H29" s="1104" t="s">
        <v>797</v>
      </c>
      <c r="I29" s="1104" t="s">
        <v>798</v>
      </c>
      <c r="J29" s="1115" t="s">
        <v>872</v>
      </c>
      <c r="K29" s="1114" t="s">
        <v>873</v>
      </c>
      <c r="L29" s="1104">
        <v>70121</v>
      </c>
      <c r="M29" s="1277">
        <v>4066340</v>
      </c>
      <c r="N29" s="1277">
        <v>2500000</v>
      </c>
      <c r="O29" s="1280">
        <v>37935</v>
      </c>
      <c r="P29" s="1283">
        <f>36+6+6+2</f>
        <v>50</v>
      </c>
      <c r="Q29" s="1110">
        <f>P29/12</f>
        <v>4.166666666666667</v>
      </c>
      <c r="R29" s="1286">
        <f>O29+(P29*365/12)</f>
        <v>39455.833333333336</v>
      </c>
      <c r="S29" s="1289" t="s">
        <v>434</v>
      </c>
      <c r="T29" s="1295">
        <v>4066340</v>
      </c>
      <c r="U29" s="1292">
        <f>2276+(4066340-4000000)*(2640-2276)/(5000000-4000000)</f>
        <v>2300.14776</v>
      </c>
      <c r="V29" s="1140" t="s">
        <v>944</v>
      </c>
      <c r="W29" s="1141">
        <v>3894.8</v>
      </c>
      <c r="X29" s="1141" t="s">
        <v>584</v>
      </c>
      <c r="Y29" s="1141"/>
      <c r="Z29" s="1145"/>
      <c r="AA29" s="1143"/>
      <c r="AB29" s="1135">
        <v>522</v>
      </c>
      <c r="AC29" s="1208">
        <v>40050</v>
      </c>
    </row>
    <row r="30" spans="1:29" ht="12.75">
      <c r="A30" s="1275"/>
      <c r="B30" s="1299"/>
      <c r="C30" s="1275"/>
      <c r="D30" s="1275"/>
      <c r="E30" s="1106"/>
      <c r="F30" s="1107"/>
      <c r="G30" s="1125"/>
      <c r="H30" s="1104"/>
      <c r="I30" s="1104"/>
      <c r="J30" s="1115"/>
      <c r="K30" s="1114"/>
      <c r="L30" s="1104"/>
      <c r="M30" s="1278"/>
      <c r="N30" s="1278"/>
      <c r="O30" s="1281"/>
      <c r="P30" s="1284"/>
      <c r="Q30" s="1110"/>
      <c r="R30" s="1287"/>
      <c r="S30" s="1290"/>
      <c r="T30" s="1296"/>
      <c r="U30" s="1293"/>
      <c r="V30" s="1140" t="s">
        <v>951</v>
      </c>
      <c r="W30" s="1215">
        <v>3916.98</v>
      </c>
      <c r="X30" s="1141"/>
      <c r="Y30" s="1141"/>
      <c r="Z30" s="1145"/>
      <c r="AA30" s="1143"/>
      <c r="AB30" s="1135">
        <v>523</v>
      </c>
      <c r="AC30" s="1208">
        <v>40050</v>
      </c>
    </row>
    <row r="31" spans="1:29" ht="12.75">
      <c r="A31" s="1276"/>
      <c r="B31" s="1300"/>
      <c r="C31" s="1276"/>
      <c r="D31" s="1276"/>
      <c r="E31" s="1106"/>
      <c r="F31" s="1107"/>
      <c r="G31" s="1125"/>
      <c r="H31" s="1104"/>
      <c r="I31" s="1104"/>
      <c r="J31" s="1115"/>
      <c r="K31" s="1114"/>
      <c r="L31" s="1104"/>
      <c r="M31" s="1279"/>
      <c r="N31" s="1279"/>
      <c r="O31" s="1282"/>
      <c r="P31" s="1285"/>
      <c r="Q31" s="1110"/>
      <c r="R31" s="1288"/>
      <c r="S31" s="1291"/>
      <c r="T31" s="1297"/>
      <c r="U31" s="1294"/>
      <c r="V31" s="1140" t="s">
        <v>952</v>
      </c>
      <c r="W31" s="1215">
        <v>3993.78</v>
      </c>
      <c r="X31" s="1141"/>
      <c r="Y31" s="1141"/>
      <c r="Z31" s="1145"/>
      <c r="AA31" s="1143"/>
      <c r="AB31" s="1135">
        <v>524</v>
      </c>
      <c r="AC31" s="1208">
        <v>40050</v>
      </c>
    </row>
    <row r="32" spans="1:29" ht="12.75" customHeight="1">
      <c r="A32" s="1268">
        <v>15</v>
      </c>
      <c r="B32" s="1271">
        <v>31</v>
      </c>
      <c r="C32" s="1274" t="s">
        <v>884</v>
      </c>
      <c r="D32" s="1274" t="s">
        <v>1193</v>
      </c>
      <c r="E32" s="1106" t="s">
        <v>1192</v>
      </c>
      <c r="F32" s="1107" t="s">
        <v>1191</v>
      </c>
      <c r="G32" s="1125" t="s">
        <v>103</v>
      </c>
      <c r="H32" s="1104" t="s">
        <v>797</v>
      </c>
      <c r="I32" s="1104" t="s">
        <v>798</v>
      </c>
      <c r="J32" s="1115" t="s">
        <v>887</v>
      </c>
      <c r="K32" s="1104" t="s">
        <v>888</v>
      </c>
      <c r="L32" s="1104">
        <v>70126</v>
      </c>
      <c r="M32" s="1277">
        <v>512256</v>
      </c>
      <c r="N32" s="1277">
        <v>332966.4</v>
      </c>
      <c r="O32" s="1280">
        <v>38387</v>
      </c>
      <c r="P32" s="1283">
        <f>30+6</f>
        <v>36</v>
      </c>
      <c r="Q32" s="1110">
        <f>P32/12</f>
        <v>3</v>
      </c>
      <c r="R32" s="1286">
        <f>O32+(P32*365/12)</f>
        <v>39482</v>
      </c>
      <c r="S32" s="1289" t="s">
        <v>434</v>
      </c>
      <c r="T32" s="1292">
        <v>512256</v>
      </c>
      <c r="U32" s="1292">
        <v>1211</v>
      </c>
      <c r="V32" s="1205" t="s">
        <v>954</v>
      </c>
      <c r="W32" s="1138">
        <v>2496.27</v>
      </c>
      <c r="X32" s="1141" t="s">
        <v>31</v>
      </c>
      <c r="Y32" s="1142">
        <v>39758</v>
      </c>
      <c r="Z32" s="1142">
        <v>39793</v>
      </c>
      <c r="AA32" s="1204" t="s">
        <v>1475</v>
      </c>
      <c r="AB32" s="1135">
        <v>130</v>
      </c>
      <c r="AC32" s="1208">
        <v>39888</v>
      </c>
    </row>
    <row r="33" spans="1:29" ht="12.75">
      <c r="A33" s="1269"/>
      <c r="B33" s="1272"/>
      <c r="C33" s="1275"/>
      <c r="D33" s="1275"/>
      <c r="E33" s="1106"/>
      <c r="F33" s="1107"/>
      <c r="G33" s="1125"/>
      <c r="H33" s="1104"/>
      <c r="I33" s="1104"/>
      <c r="J33" s="1115"/>
      <c r="K33" s="1104"/>
      <c r="L33" s="1104"/>
      <c r="M33" s="1278"/>
      <c r="N33" s="1278"/>
      <c r="O33" s="1281"/>
      <c r="P33" s="1284"/>
      <c r="Q33" s="1110"/>
      <c r="R33" s="1287"/>
      <c r="S33" s="1290"/>
      <c r="T33" s="1293"/>
      <c r="U33" s="1293"/>
      <c r="V33" s="1205" t="s">
        <v>953</v>
      </c>
      <c r="W33" s="1138">
        <v>2195.44</v>
      </c>
      <c r="X33" s="1141"/>
      <c r="Y33" s="1142"/>
      <c r="Z33" s="1142"/>
      <c r="AA33" s="1204"/>
      <c r="AB33" s="1135">
        <v>129</v>
      </c>
      <c r="AC33" s="1208">
        <v>39888</v>
      </c>
    </row>
    <row r="34" spans="1:29" ht="12.75">
      <c r="A34" s="1270"/>
      <c r="B34" s="1273"/>
      <c r="C34" s="1276"/>
      <c r="D34" s="1276"/>
      <c r="E34" s="1106"/>
      <c r="F34" s="1107"/>
      <c r="G34" s="1125"/>
      <c r="H34" s="1104"/>
      <c r="I34" s="1104"/>
      <c r="J34" s="1115"/>
      <c r="K34" s="1104"/>
      <c r="L34" s="1104"/>
      <c r="M34" s="1279"/>
      <c r="N34" s="1279"/>
      <c r="O34" s="1282"/>
      <c r="P34" s="1285"/>
      <c r="Q34" s="1110"/>
      <c r="R34" s="1288"/>
      <c r="S34" s="1291"/>
      <c r="T34" s="1294"/>
      <c r="U34" s="1294"/>
      <c r="V34" s="1205" t="s">
        <v>933</v>
      </c>
      <c r="W34" s="1138">
        <v>2111</v>
      </c>
      <c r="X34" s="1141"/>
      <c r="Y34" s="1142"/>
      <c r="Z34" s="1142"/>
      <c r="AA34" s="1204"/>
      <c r="AB34" s="1135">
        <v>131</v>
      </c>
      <c r="AC34" s="1208">
        <v>39888</v>
      </c>
    </row>
    <row r="35" spans="1:29" ht="12.75" customHeight="1">
      <c r="A35" s="1268">
        <v>20</v>
      </c>
      <c r="B35" s="1271">
        <v>44</v>
      </c>
      <c r="C35" s="1274" t="s">
        <v>370</v>
      </c>
      <c r="D35" s="1274" t="s">
        <v>801</v>
      </c>
      <c r="E35" s="1106" t="s">
        <v>1354</v>
      </c>
      <c r="F35" s="1107" t="s">
        <v>1355</v>
      </c>
      <c r="G35" s="1125" t="s">
        <v>456</v>
      </c>
      <c r="H35" s="1104" t="s">
        <v>797</v>
      </c>
      <c r="I35" s="1104" t="s">
        <v>798</v>
      </c>
      <c r="J35" s="1115" t="s">
        <v>141</v>
      </c>
      <c r="K35" s="1104">
        <v>184</v>
      </c>
      <c r="L35" s="1104">
        <v>70126</v>
      </c>
      <c r="M35" s="1277">
        <v>3810100</v>
      </c>
      <c r="N35" s="1277">
        <v>2476565</v>
      </c>
      <c r="O35" s="1280">
        <v>38047</v>
      </c>
      <c r="P35" s="1283">
        <f>42+6</f>
        <v>48</v>
      </c>
      <c r="Q35" s="1110">
        <f>P35/12</f>
        <v>4</v>
      </c>
      <c r="R35" s="1286">
        <f>O35+(P35*365/12)</f>
        <v>39507</v>
      </c>
      <c r="S35" s="1289" t="s">
        <v>434</v>
      </c>
      <c r="T35" s="1295">
        <v>3810100</v>
      </c>
      <c r="U35" s="1292">
        <f>1880+(3810100-3000000)*(2276-1880)/(4000000-3000000)</f>
        <v>2200.7996</v>
      </c>
      <c r="V35" s="1140" t="s">
        <v>956</v>
      </c>
      <c r="W35" s="1215">
        <f>+U35*1.2+900</f>
        <v>3540.95952</v>
      </c>
      <c r="X35" s="1141" t="s">
        <v>32</v>
      </c>
      <c r="Y35" s="1142">
        <v>39776</v>
      </c>
      <c r="Z35" s="1142">
        <v>39793</v>
      </c>
      <c r="AA35" s="1143"/>
      <c r="AB35" s="1135">
        <v>699</v>
      </c>
      <c r="AC35" s="1208">
        <v>40116</v>
      </c>
    </row>
    <row r="36" spans="1:29" ht="12.75">
      <c r="A36" s="1269"/>
      <c r="B36" s="1272"/>
      <c r="C36" s="1275"/>
      <c r="D36" s="1275"/>
      <c r="E36" s="1106"/>
      <c r="F36" s="1107"/>
      <c r="G36" s="1125"/>
      <c r="H36" s="1104"/>
      <c r="I36" s="1104"/>
      <c r="J36" s="1115"/>
      <c r="K36" s="1104"/>
      <c r="L36" s="1104"/>
      <c r="M36" s="1278"/>
      <c r="N36" s="1278"/>
      <c r="O36" s="1281"/>
      <c r="P36" s="1284"/>
      <c r="Q36" s="1110"/>
      <c r="R36" s="1287"/>
      <c r="S36" s="1290"/>
      <c r="T36" s="1296"/>
      <c r="U36" s="1293"/>
      <c r="V36" s="1140" t="s">
        <v>955</v>
      </c>
      <c r="W36" s="1215">
        <v>3869.8</v>
      </c>
      <c r="X36" s="1141"/>
      <c r="Y36" s="1142"/>
      <c r="Z36" s="1142"/>
      <c r="AA36" s="1143"/>
      <c r="AB36" s="1135">
        <v>563</v>
      </c>
      <c r="AC36" s="1208">
        <v>40067</v>
      </c>
    </row>
    <row r="37" spans="1:29" ht="12.75">
      <c r="A37" s="1270"/>
      <c r="B37" s="1273"/>
      <c r="C37" s="1276"/>
      <c r="D37" s="1276"/>
      <c r="E37" s="1106"/>
      <c r="F37" s="1107"/>
      <c r="G37" s="1125"/>
      <c r="H37" s="1104"/>
      <c r="I37" s="1104"/>
      <c r="J37" s="1115"/>
      <c r="K37" s="1104"/>
      <c r="L37" s="1104"/>
      <c r="M37" s="1279"/>
      <c r="N37" s="1279"/>
      <c r="O37" s="1282"/>
      <c r="P37" s="1285"/>
      <c r="Q37" s="1110"/>
      <c r="R37" s="1288"/>
      <c r="S37" s="1291"/>
      <c r="T37" s="1297"/>
      <c r="U37" s="1294"/>
      <c r="V37" s="1140" t="s">
        <v>933</v>
      </c>
      <c r="W37" s="1215">
        <v>3287.87</v>
      </c>
      <c r="X37" s="1141"/>
      <c r="Y37" s="1142"/>
      <c r="Z37" s="1142"/>
      <c r="AA37" s="1143"/>
      <c r="AB37" s="1135">
        <v>564</v>
      </c>
      <c r="AC37" s="1208">
        <v>40067</v>
      </c>
    </row>
    <row r="38" spans="1:27" ht="12.75" customHeight="1">
      <c r="A38" s="1268">
        <v>12</v>
      </c>
      <c r="B38" s="1271">
        <v>28</v>
      </c>
      <c r="C38" s="1274" t="s">
        <v>826</v>
      </c>
      <c r="D38" s="1301" t="s">
        <v>747</v>
      </c>
      <c r="E38" s="1106" t="s">
        <v>223</v>
      </c>
      <c r="F38" s="1107" t="s">
        <v>1179</v>
      </c>
      <c r="G38" s="1125" t="s">
        <v>1100</v>
      </c>
      <c r="H38" s="1104" t="s">
        <v>797</v>
      </c>
      <c r="I38" s="1104" t="s">
        <v>798</v>
      </c>
      <c r="J38" s="1115" t="s">
        <v>1356</v>
      </c>
      <c r="K38" s="1206" t="s">
        <v>1295</v>
      </c>
      <c r="L38" s="1104">
        <v>70125</v>
      </c>
      <c r="M38" s="1277">
        <v>4072757.4</v>
      </c>
      <c r="N38" s="1277">
        <v>2500000</v>
      </c>
      <c r="O38" s="1280">
        <v>38231</v>
      </c>
      <c r="P38" s="1283">
        <v>44</v>
      </c>
      <c r="Q38" s="1110">
        <v>3.6666666666666665</v>
      </c>
      <c r="R38" s="1286">
        <v>39569.333333333336</v>
      </c>
      <c r="S38" s="1289" t="s">
        <v>434</v>
      </c>
      <c r="T38" s="1292">
        <v>4072757.4</v>
      </c>
      <c r="U38" s="1292">
        <f>2276+(4072757.4-4000000)*(2640-2276)/(5000000-4000000)</f>
        <v>2302.4836936</v>
      </c>
      <c r="V38" s="1140" t="s">
        <v>944</v>
      </c>
      <c r="W38" s="1141">
        <v>3996.1</v>
      </c>
      <c r="X38" s="1141" t="s">
        <v>1476</v>
      </c>
      <c r="Y38" s="1142" t="s">
        <v>1477</v>
      </c>
      <c r="Z38" s="1207"/>
      <c r="AA38" s="1143"/>
    </row>
    <row r="39" spans="1:29" ht="12.75">
      <c r="A39" s="1269"/>
      <c r="B39" s="1272"/>
      <c r="C39" s="1275"/>
      <c r="D39" s="1302"/>
      <c r="E39" s="1106"/>
      <c r="F39" s="1107"/>
      <c r="G39" s="1125"/>
      <c r="H39" s="1104"/>
      <c r="I39" s="1104"/>
      <c r="J39" s="1115"/>
      <c r="K39" s="1206"/>
      <c r="L39" s="1104"/>
      <c r="M39" s="1278"/>
      <c r="N39" s="1278"/>
      <c r="O39" s="1281"/>
      <c r="P39" s="1284"/>
      <c r="Q39" s="1110"/>
      <c r="R39" s="1287"/>
      <c r="S39" s="1290"/>
      <c r="T39" s="1293"/>
      <c r="U39" s="1293"/>
      <c r="V39" s="1140" t="s">
        <v>957</v>
      </c>
      <c r="W39" s="1215">
        <v>3919.25</v>
      </c>
      <c r="X39" s="1141"/>
      <c r="Y39" s="1142"/>
      <c r="Z39" s="1207"/>
      <c r="AA39" s="1143"/>
      <c r="AB39" s="1135">
        <v>335</v>
      </c>
      <c r="AC39" s="1208">
        <v>39967</v>
      </c>
    </row>
    <row r="40" spans="1:29" ht="12.75">
      <c r="A40" s="1270"/>
      <c r="B40" s="1273"/>
      <c r="C40" s="1276"/>
      <c r="D40" s="1303"/>
      <c r="E40" s="1106"/>
      <c r="F40" s="1107"/>
      <c r="G40" s="1125"/>
      <c r="H40" s="1104"/>
      <c r="I40" s="1104"/>
      <c r="J40" s="1115"/>
      <c r="K40" s="1206"/>
      <c r="L40" s="1104"/>
      <c r="M40" s="1279"/>
      <c r="N40" s="1279"/>
      <c r="O40" s="1282"/>
      <c r="P40" s="1285"/>
      <c r="Q40" s="1110"/>
      <c r="R40" s="1288"/>
      <c r="S40" s="1291"/>
      <c r="T40" s="1294"/>
      <c r="U40" s="1294"/>
      <c r="V40" s="1140" t="s">
        <v>958</v>
      </c>
      <c r="W40" s="1215">
        <v>3996.1</v>
      </c>
      <c r="X40" s="1141"/>
      <c r="Y40" s="1142"/>
      <c r="Z40" s="1207"/>
      <c r="AA40" s="1143"/>
      <c r="AB40" s="1135">
        <v>334</v>
      </c>
      <c r="AC40" s="1208">
        <v>39967</v>
      </c>
    </row>
    <row r="41" spans="1:29" ht="15" customHeight="1">
      <c r="A41" s="1268">
        <v>5</v>
      </c>
      <c r="B41" s="1271">
        <v>10</v>
      </c>
      <c r="C41" s="1274" t="s">
        <v>851</v>
      </c>
      <c r="D41" s="1274" t="s">
        <v>852</v>
      </c>
      <c r="E41" s="1106" t="s">
        <v>438</v>
      </c>
      <c r="F41" s="1107" t="s">
        <v>436</v>
      </c>
      <c r="G41" s="1125" t="s">
        <v>1339</v>
      </c>
      <c r="H41" s="1104" t="s">
        <v>797</v>
      </c>
      <c r="I41" s="1104" t="s">
        <v>798</v>
      </c>
      <c r="J41" s="1115" t="s">
        <v>1310</v>
      </c>
      <c r="K41" s="1114">
        <v>253</v>
      </c>
      <c r="L41" s="1104">
        <v>70123</v>
      </c>
      <c r="M41" s="1277">
        <v>863436</v>
      </c>
      <c r="N41" s="1277">
        <v>561233.4</v>
      </c>
      <c r="O41" s="1280">
        <v>38231</v>
      </c>
      <c r="P41" s="1283">
        <f>30+6+9</f>
        <v>45</v>
      </c>
      <c r="Q41" s="1110">
        <f>P41/12</f>
        <v>3.75</v>
      </c>
      <c r="R41" s="1286">
        <f>O41+(P41*365/12)</f>
        <v>39599.75</v>
      </c>
      <c r="S41" s="1289" t="s">
        <v>434</v>
      </c>
      <c r="T41" s="1295"/>
      <c r="U41" s="1292">
        <v>1211</v>
      </c>
      <c r="V41" s="1140" t="s">
        <v>960</v>
      </c>
      <c r="W41" s="1138">
        <v>2353.2</v>
      </c>
      <c r="X41" s="1141" t="s">
        <v>584</v>
      </c>
      <c r="Y41" s="1142">
        <v>39772</v>
      </c>
      <c r="Z41" s="1142">
        <v>39784</v>
      </c>
      <c r="AA41" s="1143"/>
      <c r="AB41" s="1135">
        <v>240</v>
      </c>
      <c r="AC41" s="1208">
        <v>39931</v>
      </c>
    </row>
    <row r="42" spans="1:29" ht="12.75">
      <c r="A42" s="1269"/>
      <c r="B42" s="1272"/>
      <c r="C42" s="1275"/>
      <c r="D42" s="1275"/>
      <c r="E42" s="1106"/>
      <c r="F42" s="1107"/>
      <c r="G42" s="1125"/>
      <c r="H42" s="1104"/>
      <c r="I42" s="1104"/>
      <c r="J42" s="1115"/>
      <c r="K42" s="1114"/>
      <c r="L42" s="1104"/>
      <c r="M42" s="1278"/>
      <c r="N42" s="1278"/>
      <c r="O42" s="1281"/>
      <c r="P42" s="1284"/>
      <c r="Q42" s="1110"/>
      <c r="R42" s="1287"/>
      <c r="S42" s="1290"/>
      <c r="T42" s="1296"/>
      <c r="U42" s="1293"/>
      <c r="V42" s="1140" t="s">
        <v>959</v>
      </c>
      <c r="W42" s="1138">
        <v>2283.26</v>
      </c>
      <c r="X42" s="1141"/>
      <c r="Y42" s="1142"/>
      <c r="Z42" s="1142"/>
      <c r="AA42" s="1143"/>
      <c r="AB42" s="1135">
        <v>239</v>
      </c>
      <c r="AC42" s="1208">
        <v>39931</v>
      </c>
    </row>
    <row r="43" spans="1:29" ht="12.75">
      <c r="A43" s="1270"/>
      <c r="B43" s="1273"/>
      <c r="C43" s="1276"/>
      <c r="D43" s="1276"/>
      <c r="E43" s="1106"/>
      <c r="F43" s="1107"/>
      <c r="G43" s="1125"/>
      <c r="H43" s="1104"/>
      <c r="I43" s="1104"/>
      <c r="J43" s="1115"/>
      <c r="K43" s="1114"/>
      <c r="L43" s="1104"/>
      <c r="M43" s="1279"/>
      <c r="N43" s="1279"/>
      <c r="O43" s="1282"/>
      <c r="P43" s="1285"/>
      <c r="Q43" s="1110"/>
      <c r="R43" s="1288"/>
      <c r="S43" s="1291"/>
      <c r="T43" s="1297"/>
      <c r="U43" s="1294"/>
      <c r="V43" s="1140" t="s">
        <v>933</v>
      </c>
      <c r="W43" s="1138">
        <v>2213.94</v>
      </c>
      <c r="X43" s="1141"/>
      <c r="Y43" s="1142"/>
      <c r="Z43" s="1142"/>
      <c r="AA43" s="1143"/>
      <c r="AB43" s="1135">
        <v>241</v>
      </c>
      <c r="AC43" s="1208">
        <v>39931</v>
      </c>
    </row>
    <row r="44" spans="1:29" ht="12" customHeight="1">
      <c r="A44" s="1268">
        <v>2</v>
      </c>
      <c r="B44" s="1271">
        <v>4</v>
      </c>
      <c r="C44" s="1274" t="s">
        <v>882</v>
      </c>
      <c r="D44" s="1274" t="s">
        <v>525</v>
      </c>
      <c r="E44" s="1106" t="s">
        <v>361</v>
      </c>
      <c r="F44" s="1107" t="s">
        <v>1184</v>
      </c>
      <c r="G44" s="1125" t="s">
        <v>380</v>
      </c>
      <c r="H44" s="1104" t="s">
        <v>797</v>
      </c>
      <c r="I44" s="1104" t="s">
        <v>798</v>
      </c>
      <c r="J44" s="1115" t="s">
        <v>799</v>
      </c>
      <c r="K44" s="1104">
        <v>22</v>
      </c>
      <c r="L44" s="1104">
        <v>70100</v>
      </c>
      <c r="M44" s="1277">
        <v>1942600</v>
      </c>
      <c r="N44" s="1277">
        <v>1262690</v>
      </c>
      <c r="O44" s="1280">
        <v>38289</v>
      </c>
      <c r="P44" s="1283">
        <f>30+6+5+3</f>
        <v>44</v>
      </c>
      <c r="Q44" s="1110">
        <f>P44/12</f>
        <v>3.6666666666666665</v>
      </c>
      <c r="R44" s="1286">
        <f>O44+(P44*365/12)</f>
        <v>39627.333333333336</v>
      </c>
      <c r="S44" s="1289" t="s">
        <v>434</v>
      </c>
      <c r="T44" s="1295">
        <f>+M44</f>
        <v>1942600</v>
      </c>
      <c r="U44" s="1292">
        <f>1211+(((1942600-1549371)*(1435-1211))/(2000000-1549371))</f>
        <v>1406.4674377370297</v>
      </c>
      <c r="V44" s="1140" t="s">
        <v>961</v>
      </c>
      <c r="W44" s="1216">
        <v>3294.11</v>
      </c>
      <c r="X44" s="1141" t="s">
        <v>1476</v>
      </c>
      <c r="Y44" s="1142">
        <v>39772</v>
      </c>
      <c r="Z44" s="1142">
        <v>39826</v>
      </c>
      <c r="AA44" s="1143"/>
      <c r="AB44" s="1135">
        <v>377</v>
      </c>
      <c r="AC44" s="1208">
        <v>39979</v>
      </c>
    </row>
    <row r="45" spans="1:29" ht="12.75">
      <c r="A45" s="1269"/>
      <c r="B45" s="1272"/>
      <c r="C45" s="1275"/>
      <c r="D45" s="1275"/>
      <c r="E45" s="1106"/>
      <c r="F45" s="1107"/>
      <c r="G45" s="1125"/>
      <c r="H45" s="1104"/>
      <c r="I45" s="1104"/>
      <c r="J45" s="1115"/>
      <c r="K45" s="1104"/>
      <c r="L45" s="1104"/>
      <c r="M45" s="1278"/>
      <c r="N45" s="1278"/>
      <c r="O45" s="1281"/>
      <c r="P45" s="1284"/>
      <c r="Q45" s="1110"/>
      <c r="R45" s="1287"/>
      <c r="S45" s="1290"/>
      <c r="T45" s="1296"/>
      <c r="U45" s="1293"/>
      <c r="V45" s="1140" t="s">
        <v>946</v>
      </c>
      <c r="W45" s="1217">
        <v>2878.48</v>
      </c>
      <c r="X45" s="1141"/>
      <c r="Y45" s="1142"/>
      <c r="Z45" s="1142"/>
      <c r="AA45" s="1143"/>
      <c r="AB45" s="1135">
        <v>376</v>
      </c>
      <c r="AC45" s="1208">
        <v>39979</v>
      </c>
    </row>
    <row r="46" spans="1:29" ht="12.75">
      <c r="A46" s="1270"/>
      <c r="B46" s="1273"/>
      <c r="C46" s="1276"/>
      <c r="D46" s="1276"/>
      <c r="E46" s="1106"/>
      <c r="F46" s="1107"/>
      <c r="G46" s="1125"/>
      <c r="H46" s="1104"/>
      <c r="I46" s="1104"/>
      <c r="J46" s="1115"/>
      <c r="K46" s="1104"/>
      <c r="L46" s="1104"/>
      <c r="M46" s="1279"/>
      <c r="N46" s="1279"/>
      <c r="O46" s="1282"/>
      <c r="P46" s="1285"/>
      <c r="Q46" s="1110"/>
      <c r="R46" s="1288"/>
      <c r="S46" s="1291"/>
      <c r="T46" s="1297"/>
      <c r="U46" s="1294"/>
      <c r="V46" s="1140" t="s">
        <v>933</v>
      </c>
      <c r="W46" s="1217">
        <v>2426.02</v>
      </c>
      <c r="X46" s="1141"/>
      <c r="Y46" s="1142"/>
      <c r="Z46" s="1142"/>
      <c r="AA46" s="1143"/>
      <c r="AB46" s="1135">
        <v>561</v>
      </c>
      <c r="AC46" s="1208">
        <v>40067</v>
      </c>
    </row>
    <row r="47" spans="1:29" ht="12.75" customHeight="1">
      <c r="A47" s="1268">
        <v>17</v>
      </c>
      <c r="B47" s="1271">
        <v>34</v>
      </c>
      <c r="C47" s="1274" t="s">
        <v>816</v>
      </c>
      <c r="D47" s="1274" t="s">
        <v>750</v>
      </c>
      <c r="E47" s="1106" t="s">
        <v>371</v>
      </c>
      <c r="F47" s="1107" t="s">
        <v>1180</v>
      </c>
      <c r="G47" s="1125" t="s">
        <v>1150</v>
      </c>
      <c r="H47" s="1104" t="s">
        <v>797</v>
      </c>
      <c r="I47" s="1104" t="s">
        <v>798</v>
      </c>
      <c r="J47" s="1115" t="s">
        <v>824</v>
      </c>
      <c r="K47" s="1104">
        <v>4</v>
      </c>
      <c r="L47" s="1104">
        <v>70124</v>
      </c>
      <c r="M47" s="1277">
        <v>2821579.2</v>
      </c>
      <c r="N47" s="1277">
        <v>1834026.48</v>
      </c>
      <c r="O47" s="1280">
        <v>38293</v>
      </c>
      <c r="P47" s="1283">
        <f>36+5+3</f>
        <v>44</v>
      </c>
      <c r="Q47" s="1110">
        <f>P47/12</f>
        <v>3.6666666666666665</v>
      </c>
      <c r="R47" s="1286">
        <f>O47+(P47*365/12)-2</f>
        <v>39629.333333333336</v>
      </c>
      <c r="S47" s="1289" t="s">
        <v>434</v>
      </c>
      <c r="T47" s="1292">
        <v>2821579.2</v>
      </c>
      <c r="U47" s="1292">
        <f>1435+(2821579.2-2000000)*(1880-1435)/(3000000-2000000)</f>
        <v>1800.602744</v>
      </c>
      <c r="V47" s="1140" t="s">
        <v>964</v>
      </c>
      <c r="W47" s="1216">
        <f>+U47*1.2+900</f>
        <v>3060.7232928</v>
      </c>
      <c r="X47" s="1141" t="s">
        <v>1476</v>
      </c>
      <c r="Y47" s="1142">
        <v>39770</v>
      </c>
      <c r="Z47" s="1142">
        <v>39797</v>
      </c>
      <c r="AA47" s="1143"/>
      <c r="AB47" s="1135">
        <v>132</v>
      </c>
      <c r="AC47" s="1208">
        <v>39888</v>
      </c>
    </row>
    <row r="48" spans="1:29" ht="12.75">
      <c r="A48" s="1269"/>
      <c r="B48" s="1272"/>
      <c r="C48" s="1275"/>
      <c r="D48" s="1275"/>
      <c r="E48" s="1106"/>
      <c r="F48" s="1107"/>
      <c r="G48" s="1125"/>
      <c r="H48" s="1104"/>
      <c r="I48" s="1104"/>
      <c r="J48" s="1115"/>
      <c r="K48" s="1104"/>
      <c r="L48" s="1104"/>
      <c r="M48" s="1278"/>
      <c r="N48" s="1278"/>
      <c r="O48" s="1281"/>
      <c r="P48" s="1284"/>
      <c r="Q48" s="1110"/>
      <c r="R48" s="1287"/>
      <c r="S48" s="1290"/>
      <c r="T48" s="1293"/>
      <c r="U48" s="1293"/>
      <c r="V48" s="1140" t="s">
        <v>962</v>
      </c>
      <c r="W48" s="1217">
        <v>3305.53</v>
      </c>
      <c r="X48" s="1141"/>
      <c r="Y48" s="1142"/>
      <c r="Z48" s="1142"/>
      <c r="AA48" s="1143"/>
      <c r="AB48" s="1135">
        <v>133</v>
      </c>
      <c r="AC48" s="1208">
        <v>39888</v>
      </c>
    </row>
    <row r="49" spans="1:29" ht="12.75">
      <c r="A49" s="1270"/>
      <c r="B49" s="1273"/>
      <c r="C49" s="1276"/>
      <c r="D49" s="1276"/>
      <c r="E49" s="1106"/>
      <c r="F49" s="1107"/>
      <c r="G49" s="1125"/>
      <c r="H49" s="1104"/>
      <c r="I49" s="1104"/>
      <c r="J49" s="1115"/>
      <c r="K49" s="1104"/>
      <c r="L49" s="1104"/>
      <c r="M49" s="1279"/>
      <c r="N49" s="1279"/>
      <c r="O49" s="1282"/>
      <c r="P49" s="1285"/>
      <c r="Q49" s="1110"/>
      <c r="R49" s="1288"/>
      <c r="S49" s="1291"/>
      <c r="T49" s="1294"/>
      <c r="U49" s="1294"/>
      <c r="V49" s="1140" t="s">
        <v>963</v>
      </c>
      <c r="W49" s="1217">
        <v>2930.15</v>
      </c>
      <c r="X49" s="1141"/>
      <c r="Y49" s="1142"/>
      <c r="Z49" s="1142"/>
      <c r="AA49" s="1143"/>
      <c r="AB49" s="1135">
        <v>134</v>
      </c>
      <c r="AC49" s="1208">
        <v>39888</v>
      </c>
    </row>
    <row r="50" spans="1:29" ht="12.75" customHeight="1">
      <c r="A50" s="1268">
        <v>4</v>
      </c>
      <c r="B50" s="1271">
        <v>9</v>
      </c>
      <c r="C50" s="1274" t="s">
        <v>864</v>
      </c>
      <c r="D50" s="1274" t="s">
        <v>865</v>
      </c>
      <c r="E50" s="1106" t="s">
        <v>1450</v>
      </c>
      <c r="F50" s="1107" t="s">
        <v>1185</v>
      </c>
      <c r="G50" s="1125" t="s">
        <v>486</v>
      </c>
      <c r="H50" s="1104" t="s">
        <v>797</v>
      </c>
      <c r="I50" s="1104" t="s">
        <v>798</v>
      </c>
      <c r="J50" s="1115" t="s">
        <v>1445</v>
      </c>
      <c r="K50" s="1104" t="s">
        <v>1446</v>
      </c>
      <c r="L50" s="1104">
        <v>70123</v>
      </c>
      <c r="M50" s="1277">
        <v>2009142.4</v>
      </c>
      <c r="N50" s="1277">
        <v>1305942.56</v>
      </c>
      <c r="O50" s="1280">
        <v>38201</v>
      </c>
      <c r="P50" s="1283">
        <f>42+5</f>
        <v>47</v>
      </c>
      <c r="Q50" s="1110">
        <f>P50/12</f>
        <v>3.9166666666666665</v>
      </c>
      <c r="R50" s="1286">
        <f>O50+(P50*365/12)</f>
        <v>39630.583333333336</v>
      </c>
      <c r="S50" s="1289"/>
      <c r="T50" s="1295">
        <v>2009142.4</v>
      </c>
      <c r="U50" s="1292">
        <f>1435+(2009142.4-2000000)*(1880-1435)/(3000000-2000000)</f>
        <v>1439.068368</v>
      </c>
      <c r="V50" s="1140" t="s">
        <v>966</v>
      </c>
      <c r="W50" s="1138">
        <v>3215.3</v>
      </c>
      <c r="X50" s="1138"/>
      <c r="Y50" s="1138"/>
      <c r="Z50" s="1137"/>
      <c r="AA50" s="1143"/>
      <c r="AB50" s="1135">
        <v>592</v>
      </c>
      <c r="AC50" s="1208">
        <v>40085</v>
      </c>
    </row>
    <row r="51" spans="1:29" ht="12.75">
      <c r="A51" s="1269"/>
      <c r="B51" s="1272"/>
      <c r="C51" s="1275"/>
      <c r="D51" s="1275"/>
      <c r="E51" s="1106"/>
      <c r="F51" s="1107"/>
      <c r="G51" s="1125"/>
      <c r="H51" s="1104"/>
      <c r="I51" s="1104"/>
      <c r="J51" s="1115"/>
      <c r="K51" s="1104"/>
      <c r="L51" s="1104"/>
      <c r="M51" s="1278"/>
      <c r="N51" s="1278"/>
      <c r="O51" s="1281"/>
      <c r="P51" s="1284"/>
      <c r="Q51" s="1110"/>
      <c r="R51" s="1287"/>
      <c r="S51" s="1290"/>
      <c r="T51" s="1296"/>
      <c r="U51" s="1293"/>
      <c r="V51" s="1140" t="s">
        <v>938</v>
      </c>
      <c r="W51" s="1214">
        <v>2919.19</v>
      </c>
      <c r="X51" s="1138"/>
      <c r="Y51" s="1138"/>
      <c r="Z51" s="1137"/>
      <c r="AA51" s="1143"/>
      <c r="AB51" s="1135">
        <v>593</v>
      </c>
      <c r="AC51" s="1208">
        <v>40085</v>
      </c>
    </row>
    <row r="52" spans="1:29" ht="12.75">
      <c r="A52" s="1270"/>
      <c r="B52" s="1273"/>
      <c r="C52" s="1276"/>
      <c r="D52" s="1276"/>
      <c r="E52" s="1106"/>
      <c r="F52" s="1107"/>
      <c r="G52" s="1125"/>
      <c r="H52" s="1104"/>
      <c r="I52" s="1104"/>
      <c r="J52" s="1115"/>
      <c r="K52" s="1104"/>
      <c r="L52" s="1104"/>
      <c r="M52" s="1279"/>
      <c r="N52" s="1279"/>
      <c r="O52" s="1282"/>
      <c r="P52" s="1285"/>
      <c r="Q52" s="1110"/>
      <c r="R52" s="1288"/>
      <c r="S52" s="1291"/>
      <c r="T52" s="1297"/>
      <c r="U52" s="1294"/>
      <c r="V52" s="1140" t="s">
        <v>965</v>
      </c>
      <c r="W52" s="1214">
        <v>2537.89</v>
      </c>
      <c r="X52" s="1138"/>
      <c r="Y52" s="1138"/>
      <c r="Z52" s="1137"/>
      <c r="AA52" s="1143"/>
      <c r="AB52" s="1135">
        <v>448</v>
      </c>
      <c r="AC52" s="1208">
        <v>39966</v>
      </c>
    </row>
    <row r="53" spans="1:29" ht="13.5" customHeight="1">
      <c r="A53" s="1268">
        <v>3</v>
      </c>
      <c r="B53" s="1271">
        <v>8</v>
      </c>
      <c r="C53" s="1274" t="s">
        <v>857</v>
      </c>
      <c r="D53" s="1274" t="s">
        <v>858</v>
      </c>
      <c r="E53" s="1106" t="s">
        <v>408</v>
      </c>
      <c r="F53" s="1107" t="s">
        <v>1182</v>
      </c>
      <c r="G53" s="1125" t="s">
        <v>1404</v>
      </c>
      <c r="H53" s="1104" t="s">
        <v>797</v>
      </c>
      <c r="I53" s="1104" t="s">
        <v>798</v>
      </c>
      <c r="J53" s="1115" t="s">
        <v>860</v>
      </c>
      <c r="K53" s="1104">
        <v>228</v>
      </c>
      <c r="L53" s="1113" t="s">
        <v>861</v>
      </c>
      <c r="M53" s="1277">
        <v>2851600</v>
      </c>
      <c r="N53" s="1277">
        <v>1825024</v>
      </c>
      <c r="O53" s="1280">
        <v>38330</v>
      </c>
      <c r="P53" s="1283">
        <f>36+6+1</f>
        <v>43</v>
      </c>
      <c r="Q53" s="1110">
        <f>P53/12</f>
        <v>3.5833333333333335</v>
      </c>
      <c r="R53" s="1286">
        <f>O53+(P53*365/12)</f>
        <v>39637.916666666664</v>
      </c>
      <c r="S53" s="1289"/>
      <c r="T53" s="1295">
        <v>2851600</v>
      </c>
      <c r="U53" s="1292">
        <f>1435+(((2851600-2000000)*(1880-1435))/(3000000-2000000))</f>
        <v>1813.962</v>
      </c>
      <c r="V53" s="1140" t="s">
        <v>968</v>
      </c>
      <c r="W53" s="1138">
        <v>3765.94</v>
      </c>
      <c r="X53" s="1138"/>
      <c r="Y53" s="1138"/>
      <c r="Z53" s="1137"/>
      <c r="AA53" s="1143"/>
      <c r="AB53" s="1135">
        <v>449</v>
      </c>
      <c r="AC53" s="1208">
        <v>39966</v>
      </c>
    </row>
    <row r="54" spans="1:29" ht="12.75">
      <c r="A54" s="1269"/>
      <c r="B54" s="1272"/>
      <c r="C54" s="1275"/>
      <c r="D54" s="1275"/>
      <c r="E54" s="1106"/>
      <c r="F54" s="1107"/>
      <c r="G54" s="1125"/>
      <c r="H54" s="1104"/>
      <c r="I54" s="1104"/>
      <c r="J54" s="1115"/>
      <c r="K54" s="1104"/>
      <c r="L54" s="1113"/>
      <c r="M54" s="1278"/>
      <c r="N54" s="1278"/>
      <c r="O54" s="1281"/>
      <c r="P54" s="1284"/>
      <c r="Q54" s="1110"/>
      <c r="R54" s="1287"/>
      <c r="S54" s="1290"/>
      <c r="T54" s="1296"/>
      <c r="U54" s="1293"/>
      <c r="V54" s="1140" t="s">
        <v>967</v>
      </c>
      <c r="W54" s="1214">
        <v>2868.15</v>
      </c>
      <c r="X54" s="1138"/>
      <c r="Y54" s="1138"/>
      <c r="Z54" s="1137"/>
      <c r="AA54" s="1143"/>
      <c r="AB54" s="1135">
        <v>562</v>
      </c>
      <c r="AC54" s="1208">
        <v>40067</v>
      </c>
    </row>
    <row r="55" spans="1:29" ht="12.75">
      <c r="A55" s="1270"/>
      <c r="B55" s="1273"/>
      <c r="C55" s="1276"/>
      <c r="D55" s="1276"/>
      <c r="E55" s="1106"/>
      <c r="F55" s="1107"/>
      <c r="G55" s="1125"/>
      <c r="H55" s="1104"/>
      <c r="I55" s="1104"/>
      <c r="J55" s="1115"/>
      <c r="K55" s="1104"/>
      <c r="L55" s="1113"/>
      <c r="M55" s="1279"/>
      <c r="N55" s="1279"/>
      <c r="O55" s="1282"/>
      <c r="P55" s="1285"/>
      <c r="Q55" s="1110"/>
      <c r="R55" s="1288"/>
      <c r="S55" s="1291"/>
      <c r="T55" s="1297"/>
      <c r="U55" s="1294"/>
      <c r="V55" s="1140" t="s">
        <v>933</v>
      </c>
      <c r="W55" s="1214">
        <v>2868.15</v>
      </c>
      <c r="X55" s="1138"/>
      <c r="Y55" s="1138"/>
      <c r="Z55" s="1137"/>
      <c r="AA55" s="1143"/>
      <c r="AB55" s="1135">
        <v>586</v>
      </c>
      <c r="AC55" s="1208">
        <v>40085</v>
      </c>
    </row>
    <row r="56" spans="1:31" ht="12.75" customHeight="1">
      <c r="A56" s="1268">
        <v>9</v>
      </c>
      <c r="B56" s="1271">
        <v>25</v>
      </c>
      <c r="C56" s="1274" t="s">
        <v>834</v>
      </c>
      <c r="D56" s="1274" t="s">
        <v>835</v>
      </c>
      <c r="E56" s="1106" t="s">
        <v>1378</v>
      </c>
      <c r="F56" s="1107" t="s">
        <v>1181</v>
      </c>
      <c r="G56" s="1125" t="s">
        <v>1151</v>
      </c>
      <c r="H56" s="1104" t="s">
        <v>797</v>
      </c>
      <c r="I56" s="1104" t="s">
        <v>798</v>
      </c>
      <c r="J56" s="1115" t="s">
        <v>838</v>
      </c>
      <c r="K56" s="1104">
        <v>184</v>
      </c>
      <c r="L56" s="1104">
        <v>70126</v>
      </c>
      <c r="M56" s="1277">
        <v>2261279</v>
      </c>
      <c r="N56" s="1277">
        <v>1469831.35</v>
      </c>
      <c r="O56" s="1280">
        <v>38139</v>
      </c>
      <c r="P56" s="1283">
        <f>36+6+6+2</f>
        <v>50</v>
      </c>
      <c r="Q56" s="1110">
        <f>P56/12</f>
        <v>4.166666666666667</v>
      </c>
      <c r="R56" s="1286">
        <f>O56+(P56*365/12)</f>
        <v>39659.833333333336</v>
      </c>
      <c r="S56" s="1289" t="s">
        <v>434</v>
      </c>
      <c r="T56" s="1277">
        <v>2261279</v>
      </c>
      <c r="U56" s="1292">
        <f>1435+(((2261279-2000000)*(1880-1435))/(3000000-2000000))</f>
        <v>1551.269155</v>
      </c>
      <c r="V56" s="1140" t="s">
        <v>969</v>
      </c>
      <c r="W56" s="1141">
        <f>+U56*1.2+900</f>
        <v>2761.522986</v>
      </c>
      <c r="X56" s="1138"/>
      <c r="Y56" s="1138"/>
      <c r="Z56" s="1137"/>
      <c r="AA56" s="1143"/>
      <c r="AB56" s="1135" t="s">
        <v>1454</v>
      </c>
      <c r="AE56" s="1226">
        <f>+U56</f>
        <v>1551.269155</v>
      </c>
    </row>
    <row r="57" spans="1:31" ht="12.75">
      <c r="A57" s="1269"/>
      <c r="B57" s="1272"/>
      <c r="C57" s="1275"/>
      <c r="D57" s="1275"/>
      <c r="E57" s="1106"/>
      <c r="F57" s="1107"/>
      <c r="G57" s="1125"/>
      <c r="H57" s="1104"/>
      <c r="I57" s="1104"/>
      <c r="J57" s="1115"/>
      <c r="K57" s="1104"/>
      <c r="L57" s="1104"/>
      <c r="M57" s="1278"/>
      <c r="N57" s="1278"/>
      <c r="O57" s="1281"/>
      <c r="P57" s="1284"/>
      <c r="Q57" s="1110"/>
      <c r="R57" s="1287"/>
      <c r="S57" s="1290"/>
      <c r="T57" s="1278"/>
      <c r="U57" s="1293"/>
      <c r="V57" s="1140" t="s">
        <v>953</v>
      </c>
      <c r="W57" s="1215">
        <f>+U56+900</f>
        <v>2451.269155</v>
      </c>
      <c r="X57" s="1138"/>
      <c r="Y57" s="1138"/>
      <c r="Z57" s="1137"/>
      <c r="AA57" s="1143"/>
      <c r="AB57" s="1135" t="s">
        <v>1454</v>
      </c>
      <c r="AE57" s="1135">
        <v>900</v>
      </c>
    </row>
    <row r="58" spans="1:31" ht="12.75">
      <c r="A58" s="1270"/>
      <c r="B58" s="1273"/>
      <c r="C58" s="1276"/>
      <c r="D58" s="1276"/>
      <c r="E58" s="1106"/>
      <c r="F58" s="1107"/>
      <c r="G58" s="1125"/>
      <c r="H58" s="1104"/>
      <c r="I58" s="1104"/>
      <c r="J58" s="1115"/>
      <c r="K58" s="1104"/>
      <c r="L58" s="1104"/>
      <c r="M58" s="1279"/>
      <c r="N58" s="1279"/>
      <c r="O58" s="1282"/>
      <c r="P58" s="1285"/>
      <c r="Q58" s="1110"/>
      <c r="R58" s="1288"/>
      <c r="S58" s="1291"/>
      <c r="T58" s="1279"/>
      <c r="U58" s="1294"/>
      <c r="V58" s="1140" t="s">
        <v>933</v>
      </c>
      <c r="W58" s="1215">
        <f>+U56+900</f>
        <v>2451.269155</v>
      </c>
      <c r="X58" s="1138"/>
      <c r="Y58" s="1138"/>
      <c r="Z58" s="1137"/>
      <c r="AA58" s="1143"/>
      <c r="AB58" s="1135" t="s">
        <v>1454</v>
      </c>
      <c r="AE58" s="1135">
        <f>+AE57+AE56</f>
        <v>2451.269155</v>
      </c>
    </row>
    <row r="59" spans="1:29" ht="12.75" customHeight="1">
      <c r="A59" s="1268">
        <v>8</v>
      </c>
      <c r="B59" s="1271">
        <v>15</v>
      </c>
      <c r="C59" s="1274" t="s">
        <v>1142</v>
      </c>
      <c r="D59" s="1274" t="s">
        <v>878</v>
      </c>
      <c r="E59" s="1106" t="s">
        <v>92</v>
      </c>
      <c r="F59" s="1107" t="s">
        <v>1178</v>
      </c>
      <c r="G59" s="1125" t="s">
        <v>1112</v>
      </c>
      <c r="H59" s="1104" t="s">
        <v>797</v>
      </c>
      <c r="I59" s="1104" t="s">
        <v>798</v>
      </c>
      <c r="J59" s="1115" t="s">
        <v>880</v>
      </c>
      <c r="K59" s="1104">
        <v>11</v>
      </c>
      <c r="L59" s="1104">
        <v>70121</v>
      </c>
      <c r="M59" s="1277">
        <v>1159344</v>
      </c>
      <c r="N59" s="1277">
        <v>753573.6</v>
      </c>
      <c r="O59" s="1280">
        <v>37974</v>
      </c>
      <c r="P59" s="1283">
        <f>36+6+9+3.44+3</f>
        <v>57.44</v>
      </c>
      <c r="Q59" s="1110">
        <f>P59/12</f>
        <v>4.786666666666666</v>
      </c>
      <c r="R59" s="1286">
        <f>O59+(P59*365/12)</f>
        <v>39721.13333333333</v>
      </c>
      <c r="S59" s="1289" t="s">
        <v>434</v>
      </c>
      <c r="T59" s="1295">
        <v>1159344</v>
      </c>
      <c r="U59" s="1295">
        <v>1211</v>
      </c>
      <c r="V59" s="1140" t="s">
        <v>966</v>
      </c>
      <c r="W59" s="1138">
        <v>2880.31</v>
      </c>
      <c r="X59" s="1138"/>
      <c r="Y59" s="1138"/>
      <c r="Z59" s="1137"/>
      <c r="AA59" s="1143"/>
      <c r="AB59" s="1135">
        <v>518</v>
      </c>
      <c r="AC59" s="1208">
        <v>40050</v>
      </c>
    </row>
    <row r="60" spans="1:29" ht="12.75">
      <c r="A60" s="1269"/>
      <c r="B60" s="1272"/>
      <c r="C60" s="1275"/>
      <c r="D60" s="1275"/>
      <c r="E60" s="1106"/>
      <c r="F60" s="1107"/>
      <c r="G60" s="1125"/>
      <c r="H60" s="1104"/>
      <c r="I60" s="1104"/>
      <c r="J60" s="1115"/>
      <c r="K60" s="1104"/>
      <c r="L60" s="1104"/>
      <c r="M60" s="1278"/>
      <c r="N60" s="1278"/>
      <c r="O60" s="1281"/>
      <c r="P60" s="1284"/>
      <c r="Q60" s="1110"/>
      <c r="R60" s="1287"/>
      <c r="S60" s="1290"/>
      <c r="T60" s="1296"/>
      <c r="U60" s="1296"/>
      <c r="V60" s="1140" t="s">
        <v>938</v>
      </c>
      <c r="W60" s="1138">
        <v>2634.53</v>
      </c>
      <c r="X60" s="1138"/>
      <c r="Y60" s="1138"/>
      <c r="Z60" s="1137"/>
      <c r="AA60" s="1143"/>
      <c r="AB60" s="1135">
        <v>519</v>
      </c>
      <c r="AC60" s="1208">
        <v>40050</v>
      </c>
    </row>
    <row r="61" spans="1:27" ht="12.75">
      <c r="A61" s="1270"/>
      <c r="B61" s="1273"/>
      <c r="C61" s="1276"/>
      <c r="D61" s="1276"/>
      <c r="E61" s="1106"/>
      <c r="F61" s="1107"/>
      <c r="G61" s="1125"/>
      <c r="H61" s="1104"/>
      <c r="I61" s="1104"/>
      <c r="J61" s="1115"/>
      <c r="K61" s="1104"/>
      <c r="L61" s="1104"/>
      <c r="M61" s="1279"/>
      <c r="N61" s="1279"/>
      <c r="O61" s="1282"/>
      <c r="P61" s="1285"/>
      <c r="Q61" s="1110"/>
      <c r="R61" s="1288"/>
      <c r="S61" s="1291"/>
      <c r="T61" s="1297"/>
      <c r="U61" s="1297"/>
      <c r="V61" s="1140" t="s">
        <v>945</v>
      </c>
      <c r="W61" s="1138">
        <v>2111</v>
      </c>
      <c r="X61" s="1138"/>
      <c r="Y61" s="1138"/>
      <c r="Z61" s="1137"/>
      <c r="AA61" s="1143"/>
    </row>
    <row r="62" spans="1:29" ht="13.5" customHeight="1">
      <c r="A62" s="1268">
        <v>24</v>
      </c>
      <c r="B62" s="1271">
        <v>50</v>
      </c>
      <c r="C62" s="1274" t="s">
        <v>126</v>
      </c>
      <c r="D62" s="1274" t="s">
        <v>987</v>
      </c>
      <c r="E62" s="1106" t="s">
        <v>416</v>
      </c>
      <c r="F62" s="1107" t="s">
        <v>1197</v>
      </c>
      <c r="G62" s="1125" t="s">
        <v>1139</v>
      </c>
      <c r="H62" s="1104" t="s">
        <v>797</v>
      </c>
      <c r="I62" s="1104" t="s">
        <v>1018</v>
      </c>
      <c r="J62" s="1115" t="s">
        <v>1019</v>
      </c>
      <c r="K62" s="1104">
        <v>33</v>
      </c>
      <c r="L62" s="1104">
        <v>70122</v>
      </c>
      <c r="M62" s="1277">
        <v>4409460.6</v>
      </c>
      <c r="N62" s="1277">
        <v>2500000</v>
      </c>
      <c r="O62" s="1280">
        <v>38141</v>
      </c>
      <c r="P62" s="1283">
        <v>53.3</v>
      </c>
      <c r="Q62" s="1110">
        <f>P62/12</f>
        <v>4.441666666666666</v>
      </c>
      <c r="R62" s="1286">
        <f>O62+(P62*365/12)</f>
        <v>39762.208333333336</v>
      </c>
      <c r="S62" s="1289"/>
      <c r="T62" s="1295">
        <v>4409460.6</v>
      </c>
      <c r="U62" s="1292">
        <f>2276+(((4409460.6-4000000)*(2640-2276))/(5000000-4000000))</f>
        <v>2425.0436584</v>
      </c>
      <c r="V62" s="1140" t="s">
        <v>973</v>
      </c>
      <c r="W62" s="1138">
        <v>4633.44</v>
      </c>
      <c r="X62" s="1138"/>
      <c r="Y62" s="1138"/>
      <c r="Z62" s="1137"/>
      <c r="AA62" s="1143"/>
      <c r="AB62" s="1135">
        <v>378</v>
      </c>
      <c r="AC62" s="1208">
        <v>39979</v>
      </c>
    </row>
    <row r="63" spans="1:29" ht="12.75">
      <c r="A63" s="1269"/>
      <c r="B63" s="1272"/>
      <c r="C63" s="1275"/>
      <c r="D63" s="1275"/>
      <c r="E63" s="1106"/>
      <c r="F63" s="1107"/>
      <c r="G63" s="1125"/>
      <c r="H63" s="1104"/>
      <c r="I63" s="1104"/>
      <c r="J63" s="1115"/>
      <c r="K63" s="1104"/>
      <c r="L63" s="1104"/>
      <c r="M63" s="1278"/>
      <c r="N63" s="1278"/>
      <c r="O63" s="1281"/>
      <c r="P63" s="1284"/>
      <c r="Q63" s="1110"/>
      <c r="R63" s="1287"/>
      <c r="S63" s="1290"/>
      <c r="T63" s="1296"/>
      <c r="U63" s="1293"/>
      <c r="V63" s="1140" t="s">
        <v>970</v>
      </c>
      <c r="W63" s="1214">
        <v>4149.65</v>
      </c>
      <c r="X63" s="1138"/>
      <c r="Y63" s="1138"/>
      <c r="Z63" s="1137"/>
      <c r="AA63" s="1143"/>
      <c r="AB63" s="1135">
        <v>379</v>
      </c>
      <c r="AC63" s="1208">
        <v>39979</v>
      </c>
    </row>
    <row r="64" spans="1:29" ht="12.75">
      <c r="A64" s="1270"/>
      <c r="B64" s="1273"/>
      <c r="C64" s="1276"/>
      <c r="D64" s="1276"/>
      <c r="E64" s="1106"/>
      <c r="F64" s="1107"/>
      <c r="G64" s="1125"/>
      <c r="H64" s="1104"/>
      <c r="I64" s="1104"/>
      <c r="J64" s="1115"/>
      <c r="K64" s="1104"/>
      <c r="L64" s="1104"/>
      <c r="M64" s="1279"/>
      <c r="N64" s="1279"/>
      <c r="O64" s="1282"/>
      <c r="P64" s="1285"/>
      <c r="Q64" s="1110"/>
      <c r="R64" s="1288"/>
      <c r="S64" s="1291"/>
      <c r="T64" s="1297"/>
      <c r="U64" s="1294"/>
      <c r="V64" s="1140" t="s">
        <v>933</v>
      </c>
      <c r="W64" s="1214">
        <v>3531.17</v>
      </c>
      <c r="X64" s="1138"/>
      <c r="Y64" s="1138"/>
      <c r="Z64" s="1137"/>
      <c r="AA64" s="1143"/>
      <c r="AB64" s="1135">
        <v>380</v>
      </c>
      <c r="AC64" s="1208">
        <v>39979</v>
      </c>
    </row>
    <row r="65" spans="1:31" ht="12.75" customHeight="1">
      <c r="A65" s="1268">
        <v>14</v>
      </c>
      <c r="B65" s="1271">
        <v>30</v>
      </c>
      <c r="C65" s="1274" t="s">
        <v>1105</v>
      </c>
      <c r="D65" s="1274" t="s">
        <v>900</v>
      </c>
      <c r="E65" s="1106" t="s">
        <v>1379</v>
      </c>
      <c r="F65" s="1107" t="s">
        <v>1190</v>
      </c>
      <c r="G65" s="1125" t="s">
        <v>1198</v>
      </c>
      <c r="H65" s="1104" t="s">
        <v>797</v>
      </c>
      <c r="I65" s="1104" t="s">
        <v>798</v>
      </c>
      <c r="J65" s="1115" t="s">
        <v>37</v>
      </c>
      <c r="K65" s="1104">
        <v>86</v>
      </c>
      <c r="L65" s="1104">
        <v>70124</v>
      </c>
      <c r="M65" s="1277">
        <v>2500230.8</v>
      </c>
      <c r="N65" s="1277">
        <v>1625150.02</v>
      </c>
      <c r="O65" s="1280">
        <v>38316</v>
      </c>
      <c r="P65" s="1283">
        <f>36+7+3.2</f>
        <v>46.2</v>
      </c>
      <c r="Q65" s="1110">
        <f>P65/12</f>
        <v>3.85</v>
      </c>
      <c r="R65" s="1286">
        <f>O65+(P65*365/12)</f>
        <v>39721.25</v>
      </c>
      <c r="S65" s="1289" t="s">
        <v>434</v>
      </c>
      <c r="T65" s="1292">
        <v>2500230.8</v>
      </c>
      <c r="U65" s="1292">
        <f>1435+(2500230.8-2000000)*(1880-1435)/(3000000-2000000)</f>
        <v>1657.602706</v>
      </c>
      <c r="V65" s="1140" t="s">
        <v>972</v>
      </c>
      <c r="W65" s="1138">
        <f>655.78+2880.31</f>
        <v>3536.09</v>
      </c>
      <c r="X65" s="1138"/>
      <c r="Y65" s="1138"/>
      <c r="Z65" s="1137"/>
      <c r="AA65" s="1143"/>
      <c r="AB65" s="1135">
        <v>128</v>
      </c>
      <c r="AC65" s="1208">
        <v>39888</v>
      </c>
      <c r="AD65" s="1135">
        <v>338</v>
      </c>
      <c r="AE65" s="1208">
        <v>39967</v>
      </c>
    </row>
    <row r="66" spans="1:29" ht="12.75">
      <c r="A66" s="1269"/>
      <c r="B66" s="1272"/>
      <c r="C66" s="1275"/>
      <c r="D66" s="1275"/>
      <c r="E66" s="1106"/>
      <c r="F66" s="1107"/>
      <c r="G66" s="1125"/>
      <c r="H66" s="1104"/>
      <c r="I66" s="1104"/>
      <c r="J66" s="1115"/>
      <c r="K66" s="1104"/>
      <c r="L66" s="1104"/>
      <c r="M66" s="1278"/>
      <c r="N66" s="1278"/>
      <c r="O66" s="1281"/>
      <c r="P66" s="1284"/>
      <c r="Q66" s="1110"/>
      <c r="R66" s="1287"/>
      <c r="S66" s="1290"/>
      <c r="T66" s="1293"/>
      <c r="U66" s="1293"/>
      <c r="V66" s="1140" t="s">
        <v>955</v>
      </c>
      <c r="W66" s="1214">
        <v>3191.57</v>
      </c>
      <c r="X66" s="1209"/>
      <c r="Y66" s="1209"/>
      <c r="Z66" s="1210"/>
      <c r="AA66" s="1143"/>
      <c r="AB66" s="1135">
        <v>337</v>
      </c>
      <c r="AC66" s="1208">
        <v>39967</v>
      </c>
    </row>
    <row r="67" spans="1:29" ht="12.75">
      <c r="A67" s="1270"/>
      <c r="B67" s="1273"/>
      <c r="C67" s="1276"/>
      <c r="D67" s="1276"/>
      <c r="E67" s="1106"/>
      <c r="F67" s="1107"/>
      <c r="G67" s="1125"/>
      <c r="H67" s="1104"/>
      <c r="I67" s="1104"/>
      <c r="J67" s="1115"/>
      <c r="K67" s="1104"/>
      <c r="L67" s="1104"/>
      <c r="M67" s="1279"/>
      <c r="N67" s="1279"/>
      <c r="O67" s="1282"/>
      <c r="P67" s="1285"/>
      <c r="Q67" s="1110"/>
      <c r="R67" s="1288"/>
      <c r="S67" s="1291"/>
      <c r="T67" s="1294"/>
      <c r="U67" s="1294"/>
      <c r="V67" s="1140" t="s">
        <v>971</v>
      </c>
      <c r="W67" s="1214">
        <f>+U65+900</f>
        <v>2557.6027059999997</v>
      </c>
      <c r="X67" s="1209"/>
      <c r="Y67" s="1209"/>
      <c r="Z67" s="1210"/>
      <c r="AA67" s="1143"/>
      <c r="AB67" s="1135">
        <v>127</v>
      </c>
      <c r="AC67" s="1208">
        <v>39888</v>
      </c>
    </row>
    <row r="68" spans="1:27" ht="12.75">
      <c r="A68" s="1146"/>
      <c r="B68" s="1147"/>
      <c r="C68" s="1146" t="s">
        <v>479</v>
      </c>
      <c r="D68" s="1148"/>
      <c r="E68" s="1148"/>
      <c r="F68" s="1149"/>
      <c r="G68" s="1150"/>
      <c r="H68" s="1147"/>
      <c r="I68" s="1147"/>
      <c r="J68" s="1151"/>
      <c r="K68" s="1147"/>
      <c r="L68" s="1147"/>
      <c r="M68" s="1152">
        <v>47008016.492000006</v>
      </c>
      <c r="N68" s="1153">
        <v>28988439.09</v>
      </c>
      <c r="O68" s="1154"/>
      <c r="P68" s="1155"/>
      <c r="Q68" s="1156"/>
      <c r="R68" s="1156"/>
      <c r="S68" s="1156"/>
      <c r="T68" s="1168"/>
      <c r="U68" s="1168"/>
      <c r="V68" s="1138"/>
      <c r="W68" s="1135">
        <f>SUM(W5:W67)</f>
        <v>186220.397397584</v>
      </c>
      <c r="AA68" s="1213"/>
    </row>
    <row r="69" ht="12.75">
      <c r="AA69" s="1213"/>
    </row>
    <row r="70" spans="3:29" ht="16.5" customHeight="1">
      <c r="C70" s="1304" t="s">
        <v>1464</v>
      </c>
      <c r="D70" s="1305" t="s">
        <v>1483</v>
      </c>
      <c r="E70" s="1305"/>
      <c r="F70" s="1305"/>
      <c r="G70" s="1305"/>
      <c r="H70" s="1305"/>
      <c r="I70" s="1305"/>
      <c r="J70" s="1305"/>
      <c r="K70" s="1305"/>
      <c r="L70" s="1305"/>
      <c r="M70" s="1305"/>
      <c r="V70" s="1140" t="s">
        <v>974</v>
      </c>
      <c r="W70" s="1140">
        <v>3575.12</v>
      </c>
      <c r="X70" s="1141" t="s">
        <v>584</v>
      </c>
      <c r="AA70" s="1213"/>
      <c r="AB70" s="1135">
        <v>246</v>
      </c>
      <c r="AC70" s="1208">
        <v>39931</v>
      </c>
    </row>
    <row r="71" spans="3:29" ht="16.5" customHeight="1">
      <c r="C71" s="1304"/>
      <c r="D71" s="1305"/>
      <c r="E71" s="1305"/>
      <c r="F71" s="1305"/>
      <c r="G71" s="1305"/>
      <c r="H71" s="1305"/>
      <c r="I71" s="1305"/>
      <c r="J71" s="1305"/>
      <c r="K71" s="1305"/>
      <c r="L71" s="1305"/>
      <c r="M71" s="1305"/>
      <c r="V71" s="1211" t="s">
        <v>932</v>
      </c>
      <c r="W71" s="1211">
        <v>3905.32</v>
      </c>
      <c r="X71" s="1212"/>
      <c r="AA71" s="1213"/>
      <c r="AB71" s="1135">
        <v>245</v>
      </c>
      <c r="AC71" s="1208">
        <v>39931</v>
      </c>
    </row>
    <row r="72" spans="3:29" ht="16.5" customHeight="1">
      <c r="C72" s="1304"/>
      <c r="D72" s="1305"/>
      <c r="E72" s="1305"/>
      <c r="F72" s="1305"/>
      <c r="G72" s="1305"/>
      <c r="H72" s="1305"/>
      <c r="I72" s="1305"/>
      <c r="J72" s="1305"/>
      <c r="K72" s="1305"/>
      <c r="L72" s="1305"/>
      <c r="M72" s="1305"/>
      <c r="V72" s="1211" t="s">
        <v>948</v>
      </c>
      <c r="W72" s="1211">
        <v>3318.76</v>
      </c>
      <c r="X72" s="1212"/>
      <c r="AA72" s="1213"/>
      <c r="AB72" s="1135">
        <v>247</v>
      </c>
      <c r="AC72" s="1208">
        <v>39931</v>
      </c>
    </row>
    <row r="157" ht="12.75"/>
    <row r="158" ht="12.75"/>
    <row r="159" ht="12.75"/>
    <row r="160" ht="12.75"/>
    <row r="161" ht="12.75"/>
  </sheetData>
  <mergeCells count="254">
    <mergeCell ref="C70:C72"/>
    <mergeCell ref="R65:R67"/>
    <mergeCell ref="S65:S67"/>
    <mergeCell ref="D70:M72"/>
    <mergeCell ref="T65:T67"/>
    <mergeCell ref="U65:U67"/>
    <mergeCell ref="M65:M67"/>
    <mergeCell ref="N65:N67"/>
    <mergeCell ref="O65:O67"/>
    <mergeCell ref="P65:P67"/>
    <mergeCell ref="A65:A67"/>
    <mergeCell ref="B65:B67"/>
    <mergeCell ref="C65:C67"/>
    <mergeCell ref="D65:D67"/>
    <mergeCell ref="R62:R64"/>
    <mergeCell ref="S62:S64"/>
    <mergeCell ref="T62:T64"/>
    <mergeCell ref="U62:U64"/>
    <mergeCell ref="M62:M64"/>
    <mergeCell ref="N62:N64"/>
    <mergeCell ref="O62:O64"/>
    <mergeCell ref="P62:P64"/>
    <mergeCell ref="A62:A64"/>
    <mergeCell ref="B62:B64"/>
    <mergeCell ref="C62:C64"/>
    <mergeCell ref="D62:D64"/>
    <mergeCell ref="R59:R61"/>
    <mergeCell ref="S59:S61"/>
    <mergeCell ref="T59:T61"/>
    <mergeCell ref="U59:U61"/>
    <mergeCell ref="M59:M61"/>
    <mergeCell ref="N59:N61"/>
    <mergeCell ref="O59:O61"/>
    <mergeCell ref="P59:P61"/>
    <mergeCell ref="A59:A61"/>
    <mergeCell ref="B59:B61"/>
    <mergeCell ref="C59:C61"/>
    <mergeCell ref="D59:D61"/>
    <mergeCell ref="R56:R58"/>
    <mergeCell ref="S56:S58"/>
    <mergeCell ref="T56:T58"/>
    <mergeCell ref="U56:U58"/>
    <mergeCell ref="M56:M58"/>
    <mergeCell ref="N56:N58"/>
    <mergeCell ref="O56:O58"/>
    <mergeCell ref="P56:P58"/>
    <mergeCell ref="A56:A58"/>
    <mergeCell ref="B56:B58"/>
    <mergeCell ref="C56:C58"/>
    <mergeCell ref="D56:D58"/>
    <mergeCell ref="R53:R55"/>
    <mergeCell ref="S53:S55"/>
    <mergeCell ref="T53:T55"/>
    <mergeCell ref="U53:U55"/>
    <mergeCell ref="M53:M55"/>
    <mergeCell ref="N53:N55"/>
    <mergeCell ref="O53:O55"/>
    <mergeCell ref="P53:P55"/>
    <mergeCell ref="A53:A55"/>
    <mergeCell ref="B53:B55"/>
    <mergeCell ref="C53:C55"/>
    <mergeCell ref="D53:D55"/>
    <mergeCell ref="R50:R52"/>
    <mergeCell ref="S50:S52"/>
    <mergeCell ref="T50:T52"/>
    <mergeCell ref="U50:U52"/>
    <mergeCell ref="M50:M52"/>
    <mergeCell ref="N50:N52"/>
    <mergeCell ref="O50:O52"/>
    <mergeCell ref="P50:P52"/>
    <mergeCell ref="A50:A52"/>
    <mergeCell ref="B50:B52"/>
    <mergeCell ref="C50:C52"/>
    <mergeCell ref="D50:D52"/>
    <mergeCell ref="R47:R49"/>
    <mergeCell ref="S47:S49"/>
    <mergeCell ref="T47:T49"/>
    <mergeCell ref="U47:U49"/>
    <mergeCell ref="M47:M49"/>
    <mergeCell ref="N47:N49"/>
    <mergeCell ref="O47:O49"/>
    <mergeCell ref="P47:P49"/>
    <mergeCell ref="A47:A49"/>
    <mergeCell ref="B47:B49"/>
    <mergeCell ref="C47:C49"/>
    <mergeCell ref="D47:D49"/>
    <mergeCell ref="R44:R46"/>
    <mergeCell ref="S44:S46"/>
    <mergeCell ref="T44:T46"/>
    <mergeCell ref="U44:U46"/>
    <mergeCell ref="M44:M46"/>
    <mergeCell ref="N44:N46"/>
    <mergeCell ref="O44:O46"/>
    <mergeCell ref="P44:P46"/>
    <mergeCell ref="A44:A46"/>
    <mergeCell ref="B44:B46"/>
    <mergeCell ref="C44:C46"/>
    <mergeCell ref="D44:D46"/>
    <mergeCell ref="R41:R43"/>
    <mergeCell ref="S41:S43"/>
    <mergeCell ref="T41:T43"/>
    <mergeCell ref="U41:U43"/>
    <mergeCell ref="M41:M43"/>
    <mergeCell ref="N41:N43"/>
    <mergeCell ref="O41:O43"/>
    <mergeCell ref="P41:P43"/>
    <mergeCell ref="A41:A43"/>
    <mergeCell ref="B41:B43"/>
    <mergeCell ref="C41:C43"/>
    <mergeCell ref="D41:D43"/>
    <mergeCell ref="R38:R40"/>
    <mergeCell ref="S38:S40"/>
    <mergeCell ref="T38:T40"/>
    <mergeCell ref="U38:U40"/>
    <mergeCell ref="M38:M40"/>
    <mergeCell ref="N38:N40"/>
    <mergeCell ref="O38:O40"/>
    <mergeCell ref="P38:P40"/>
    <mergeCell ref="A38:A40"/>
    <mergeCell ref="B38:B40"/>
    <mergeCell ref="C38:C40"/>
    <mergeCell ref="D38:D40"/>
    <mergeCell ref="R35:R37"/>
    <mergeCell ref="S35:S37"/>
    <mergeCell ref="T35:T37"/>
    <mergeCell ref="U35:U37"/>
    <mergeCell ref="M35:M37"/>
    <mergeCell ref="N35:N37"/>
    <mergeCell ref="O35:O37"/>
    <mergeCell ref="P35:P37"/>
    <mergeCell ref="A35:A37"/>
    <mergeCell ref="B35:B37"/>
    <mergeCell ref="C35:C37"/>
    <mergeCell ref="D35:D37"/>
    <mergeCell ref="U32:U34"/>
    <mergeCell ref="M32:M34"/>
    <mergeCell ref="N32:N34"/>
    <mergeCell ref="O32:O34"/>
    <mergeCell ref="P32:P34"/>
    <mergeCell ref="R32:R34"/>
    <mergeCell ref="S32:S34"/>
    <mergeCell ref="T32:T34"/>
    <mergeCell ref="A32:A34"/>
    <mergeCell ref="B32:B34"/>
    <mergeCell ref="C32:C34"/>
    <mergeCell ref="D32:D34"/>
    <mergeCell ref="R29:R31"/>
    <mergeCell ref="S29:S31"/>
    <mergeCell ref="T29:T31"/>
    <mergeCell ref="U29:U31"/>
    <mergeCell ref="M29:M31"/>
    <mergeCell ref="N29:N31"/>
    <mergeCell ref="O29:O31"/>
    <mergeCell ref="P29:P31"/>
    <mergeCell ref="A29:A31"/>
    <mergeCell ref="B29:B31"/>
    <mergeCell ref="C29:C31"/>
    <mergeCell ref="D29:D31"/>
    <mergeCell ref="R26:R28"/>
    <mergeCell ref="S26:S28"/>
    <mergeCell ref="T26:T28"/>
    <mergeCell ref="U26:U28"/>
    <mergeCell ref="S23:S25"/>
    <mergeCell ref="T23:T25"/>
    <mergeCell ref="A26:A28"/>
    <mergeCell ref="B26:B28"/>
    <mergeCell ref="C26:C28"/>
    <mergeCell ref="D26:D28"/>
    <mergeCell ref="M26:M28"/>
    <mergeCell ref="N26:N28"/>
    <mergeCell ref="O26:O28"/>
    <mergeCell ref="P26:P28"/>
    <mergeCell ref="O23:O25"/>
    <mergeCell ref="N23:N25"/>
    <mergeCell ref="P23:P25"/>
    <mergeCell ref="R23:R25"/>
    <mergeCell ref="U20:U22"/>
    <mergeCell ref="A23:A25"/>
    <mergeCell ref="B23:B25"/>
    <mergeCell ref="C23:C25"/>
    <mergeCell ref="D23:D25"/>
    <mergeCell ref="U23:U25"/>
    <mergeCell ref="M20:M22"/>
    <mergeCell ref="M23:M25"/>
    <mergeCell ref="N20:N22"/>
    <mergeCell ref="O20:O22"/>
    <mergeCell ref="P20:P22"/>
    <mergeCell ref="R20:R22"/>
    <mergeCell ref="S20:S22"/>
    <mergeCell ref="T20:T22"/>
    <mergeCell ref="A20:A22"/>
    <mergeCell ref="B20:B22"/>
    <mergeCell ref="C20:C22"/>
    <mergeCell ref="D20:D22"/>
    <mergeCell ref="R17:R19"/>
    <mergeCell ref="S17:S19"/>
    <mergeCell ref="T17:T19"/>
    <mergeCell ref="U17:U19"/>
    <mergeCell ref="M17:M19"/>
    <mergeCell ref="N17:N19"/>
    <mergeCell ref="O17:O19"/>
    <mergeCell ref="P17:P19"/>
    <mergeCell ref="A17:A19"/>
    <mergeCell ref="B17:B19"/>
    <mergeCell ref="C17:C19"/>
    <mergeCell ref="D17:D19"/>
    <mergeCell ref="T14:T16"/>
    <mergeCell ref="U14:U16"/>
    <mergeCell ref="M14:M16"/>
    <mergeCell ref="N14:N16"/>
    <mergeCell ref="O14:O16"/>
    <mergeCell ref="P14:P16"/>
    <mergeCell ref="R14:R16"/>
    <mergeCell ref="S14:S16"/>
    <mergeCell ref="A14:A16"/>
    <mergeCell ref="B14:B16"/>
    <mergeCell ref="C14:C16"/>
    <mergeCell ref="D14:D16"/>
    <mergeCell ref="R11:R13"/>
    <mergeCell ref="S11:S13"/>
    <mergeCell ref="T11:T13"/>
    <mergeCell ref="U11:U13"/>
    <mergeCell ref="M11:M13"/>
    <mergeCell ref="N11:N13"/>
    <mergeCell ref="O11:O13"/>
    <mergeCell ref="P11:P13"/>
    <mergeCell ref="A11:A13"/>
    <mergeCell ref="B11:B13"/>
    <mergeCell ref="C11:C13"/>
    <mergeCell ref="D11:D13"/>
    <mergeCell ref="R8:R10"/>
    <mergeCell ref="S8:S10"/>
    <mergeCell ref="T8:T10"/>
    <mergeCell ref="U8:U10"/>
    <mergeCell ref="M8:M10"/>
    <mergeCell ref="N8:N10"/>
    <mergeCell ref="O8:O10"/>
    <mergeCell ref="P8:P10"/>
    <mergeCell ref="A8:A10"/>
    <mergeCell ref="B8:B10"/>
    <mergeCell ref="C8:C10"/>
    <mergeCell ref="D8:D10"/>
    <mergeCell ref="R5:R7"/>
    <mergeCell ref="S5:S7"/>
    <mergeCell ref="T5:T7"/>
    <mergeCell ref="U5:U7"/>
    <mergeCell ref="M5:M7"/>
    <mergeCell ref="N5:N7"/>
    <mergeCell ref="O5:O7"/>
    <mergeCell ref="P5:P7"/>
    <mergeCell ref="A5:A7"/>
    <mergeCell ref="B5:B7"/>
    <mergeCell ref="C5:C7"/>
    <mergeCell ref="D5:D7"/>
  </mergeCells>
  <printOptions/>
  <pageMargins left="0.2" right="0.18" top="0.26" bottom="0.17" header="0.2" footer="0.18"/>
  <pageSetup fitToHeight="2" fitToWidth="1" horizontalDpi="600" verticalDpi="600" orientation="landscape" paperSize="9" scale="61" r:id="rId3"/>
  <legacyDrawing r:id="rId2"/>
</worksheet>
</file>

<file path=xl/worksheets/sheet7.xml><?xml version="1.0" encoding="utf-8"?>
<worksheet xmlns="http://schemas.openxmlformats.org/spreadsheetml/2006/main" xmlns:r="http://schemas.openxmlformats.org/officeDocument/2006/relationships">
  <dimension ref="A1:AA112"/>
  <sheetViews>
    <sheetView zoomScaleSheetLayoutView="50" zoomScalePageLayoutView="0" workbookViewId="0" topLeftCell="A1">
      <pane xSplit="2" ySplit="5" topLeftCell="J45" activePane="bottomRight" state="frozen"/>
      <selection pane="topLeft" activeCell="A1" sqref="A1"/>
      <selection pane="topRight" activeCell="B1" sqref="B1"/>
      <selection pane="bottomLeft" activeCell="A6" sqref="A6"/>
      <selection pane="bottomRight" activeCell="M59" sqref="M59"/>
    </sheetView>
  </sheetViews>
  <sheetFormatPr defaultColWidth="9.140625" defaultRowHeight="12.75"/>
  <cols>
    <col min="1" max="1" width="3.7109375" style="279" customWidth="1"/>
    <col min="2" max="2" width="19.8515625" style="276" customWidth="1"/>
    <col min="3" max="3" width="9.7109375" style="276" customWidth="1"/>
    <col min="4" max="4" width="12.421875" style="276" customWidth="1"/>
    <col min="5" max="7" width="12.00390625" style="276" customWidth="1"/>
    <col min="8" max="8" width="11.421875" style="276" bestFit="1" customWidth="1"/>
    <col min="9" max="9" width="11.421875" style="276" customWidth="1"/>
    <col min="10" max="10" width="10.421875" style="276" bestFit="1" customWidth="1"/>
    <col min="11" max="11" width="11.00390625" style="276" customWidth="1"/>
    <col min="12" max="12" width="10.57421875" style="276" customWidth="1"/>
    <col min="13" max="13" width="11.8515625" style="276" customWidth="1"/>
    <col min="14" max="14" width="10.57421875" style="276" customWidth="1"/>
    <col min="15" max="15" width="14.00390625" style="276" bestFit="1" customWidth="1"/>
    <col min="16" max="16" width="11.7109375" style="276" customWidth="1"/>
    <col min="17" max="17" width="5.28125" style="555" customWidth="1"/>
    <col min="18" max="18" width="10.421875" style="555" customWidth="1"/>
    <col min="19" max="19" width="10.28125" style="276" customWidth="1"/>
    <col min="20" max="20" width="4.7109375" style="276" customWidth="1"/>
    <col min="21" max="21" width="11.7109375" style="276" bestFit="1" customWidth="1"/>
    <col min="22" max="22" width="4.8515625" style="276" customWidth="1"/>
    <col min="23" max="23" width="10.57421875" style="276" bestFit="1" customWidth="1"/>
    <col min="24" max="24" width="4.57421875" style="276" customWidth="1"/>
    <col min="25" max="25" width="18.57421875" style="279" bestFit="1" customWidth="1"/>
    <col min="26" max="26" width="11.7109375" style="276" bestFit="1" customWidth="1"/>
    <col min="27" max="16384" width="9.140625" style="276" customWidth="1"/>
  </cols>
  <sheetData>
    <row r="1" spans="2:20" ht="17.25" customHeight="1">
      <c r="B1" s="1310" t="s">
        <v>79</v>
      </c>
      <c r="C1" s="1310"/>
      <c r="D1" s="1310"/>
      <c r="E1" s="1310"/>
      <c r="F1" s="1310"/>
      <c r="G1" s="1310"/>
      <c r="H1" s="1310"/>
      <c r="I1" s="1310"/>
      <c r="J1" s="1310"/>
      <c r="K1" s="1310"/>
      <c r="L1" s="1310"/>
      <c r="M1" s="1310"/>
      <c r="N1" s="1310"/>
      <c r="O1" s="1310"/>
      <c r="P1" s="1310"/>
      <c r="Q1" s="1310"/>
      <c r="R1" s="1310"/>
      <c r="S1" s="1310"/>
      <c r="T1" s="1310"/>
    </row>
    <row r="2" ht="11.25"/>
    <row r="3" spans="3:27" s="277" customFormat="1" ht="22.5" customHeight="1">
      <c r="C3" s="1307" t="s">
        <v>911</v>
      </c>
      <c r="D3" s="1308"/>
      <c r="E3" s="1308"/>
      <c r="F3" s="1308"/>
      <c r="G3" s="1308"/>
      <c r="H3" s="1309"/>
      <c r="I3" s="278" t="s">
        <v>80</v>
      </c>
      <c r="J3" s="1307" t="s">
        <v>912</v>
      </c>
      <c r="K3" s="1308"/>
      <c r="L3" s="1308"/>
      <c r="M3" s="1308"/>
      <c r="N3" s="1308"/>
      <c r="O3" s="1309"/>
      <c r="P3" s="278" t="s">
        <v>81</v>
      </c>
      <c r="Q3" s="277" t="s">
        <v>82</v>
      </c>
      <c r="R3" s="277" t="s">
        <v>83</v>
      </c>
      <c r="S3" s="277" t="s">
        <v>84</v>
      </c>
      <c r="T3" s="277" t="s">
        <v>85</v>
      </c>
      <c r="U3" s="1306" t="s">
        <v>916</v>
      </c>
      <c r="V3" s="1306"/>
      <c r="W3" s="1306"/>
      <c r="X3" s="1306"/>
      <c r="Y3" s="1306"/>
      <c r="Z3" s="1306"/>
      <c r="AA3" s="1306"/>
    </row>
    <row r="4" spans="3:26" s="279" customFormat="1" ht="22.5">
      <c r="C4" s="280">
        <v>150399</v>
      </c>
      <c r="D4" s="281">
        <v>8106416.07</v>
      </c>
      <c r="E4" s="281">
        <v>33853171</v>
      </c>
      <c r="F4" s="282">
        <v>34000000</v>
      </c>
      <c r="G4" s="281"/>
      <c r="I4" s="283">
        <f>SUM(C4:G4)</f>
        <v>76109986.07</v>
      </c>
      <c r="J4" s="280">
        <v>124807.16</v>
      </c>
      <c r="K4" s="281">
        <v>0</v>
      </c>
      <c r="L4" s="281">
        <v>5531770.14</v>
      </c>
      <c r="M4" s="282">
        <v>5989681.14</v>
      </c>
      <c r="N4" s="281"/>
      <c r="P4" s="283">
        <f>SUM(J4:N4)</f>
        <v>11646258.44</v>
      </c>
      <c r="Q4" s="277"/>
      <c r="R4" s="277"/>
      <c r="S4" s="277"/>
      <c r="T4" s="277"/>
      <c r="U4" s="279" t="s">
        <v>913</v>
      </c>
      <c r="V4" s="279" t="s">
        <v>915</v>
      </c>
      <c r="W4" s="279" t="s">
        <v>914</v>
      </c>
      <c r="X4" s="279" t="s">
        <v>915</v>
      </c>
      <c r="Y4" s="279" t="s">
        <v>479</v>
      </c>
      <c r="Z4" s="279" t="s">
        <v>1091</v>
      </c>
    </row>
    <row r="5" spans="3:20" s="279" customFormat="1" ht="11.25">
      <c r="C5" s="284">
        <v>2001</v>
      </c>
      <c r="D5" s="285">
        <v>2002</v>
      </c>
      <c r="E5" s="285">
        <v>2003</v>
      </c>
      <c r="F5" s="286">
        <v>2004</v>
      </c>
      <c r="G5" s="285">
        <v>2005</v>
      </c>
      <c r="H5" s="279">
        <v>2006</v>
      </c>
      <c r="I5" s="287"/>
      <c r="J5" s="284">
        <v>2001</v>
      </c>
      <c r="K5" s="285">
        <v>2002</v>
      </c>
      <c r="L5" s="285">
        <v>2003</v>
      </c>
      <c r="M5" s="286">
        <v>2004</v>
      </c>
      <c r="N5" s="285">
        <v>2005</v>
      </c>
      <c r="O5" s="279">
        <v>2006</v>
      </c>
      <c r="P5" s="287"/>
      <c r="Q5" s="277"/>
      <c r="R5" s="277"/>
      <c r="S5" s="277"/>
      <c r="T5" s="277"/>
    </row>
    <row r="6" spans="1:26" s="290" customFormat="1" ht="22.5">
      <c r="A6" s="491">
        <v>29</v>
      </c>
      <c r="B6" s="290" t="s">
        <v>86</v>
      </c>
      <c r="C6" s="492"/>
      <c r="D6" s="493">
        <v>1237836.91</v>
      </c>
      <c r="E6" s="492"/>
      <c r="F6" s="492"/>
      <c r="G6" s="492"/>
      <c r="I6" s="492">
        <f aca="true" t="shared" si="0" ref="I6:I37">SUM(C6:G6)</f>
        <v>1237836.91</v>
      </c>
      <c r="J6" s="492"/>
      <c r="K6" s="492"/>
      <c r="L6" s="493">
        <v>218441.81</v>
      </c>
      <c r="M6" s="492"/>
      <c r="N6" s="493"/>
      <c r="P6" s="493">
        <f aca="true" t="shared" si="1" ref="P6:P37">SUM(J6:N6)</f>
        <v>218441.81</v>
      </c>
      <c r="Q6" s="549">
        <v>231</v>
      </c>
      <c r="R6" s="550">
        <v>38155</v>
      </c>
      <c r="S6" s="290" t="s">
        <v>1015</v>
      </c>
      <c r="T6" s="290">
        <v>1641</v>
      </c>
      <c r="U6" s="292">
        <f>DATI!BJ21</f>
        <v>191250</v>
      </c>
      <c r="V6" s="393">
        <v>2002</v>
      </c>
      <c r="W6" s="292">
        <f>DATI!BL21</f>
        <v>33750</v>
      </c>
      <c r="X6" s="393">
        <v>2003</v>
      </c>
      <c r="Y6" s="481">
        <f>U6+W6</f>
        <v>225000</v>
      </c>
      <c r="Z6" s="292">
        <f>DATI!BI21*0.35</f>
        <v>78750</v>
      </c>
    </row>
    <row r="7" spans="1:25" s="289" customFormat="1" ht="11.25">
      <c r="A7" s="490"/>
      <c r="B7" s="289" t="s">
        <v>87</v>
      </c>
      <c r="C7" s="494">
        <f>C4-C6</f>
        <v>150399</v>
      </c>
      <c r="D7" s="494">
        <f>D4-D6</f>
        <v>6868579.16</v>
      </c>
      <c r="E7" s="494">
        <f>E4-E6</f>
        <v>33853171</v>
      </c>
      <c r="F7" s="494">
        <f>F4-F6</f>
        <v>34000000</v>
      </c>
      <c r="G7" s="494"/>
      <c r="I7" s="495">
        <f t="shared" si="0"/>
        <v>74872149.16</v>
      </c>
      <c r="J7" s="494">
        <f>J4-J6</f>
        <v>124807.16</v>
      </c>
      <c r="K7" s="494">
        <f>K4-K6</f>
        <v>0</v>
      </c>
      <c r="L7" s="494">
        <f>L4-L6</f>
        <v>5313328.33</v>
      </c>
      <c r="M7" s="494">
        <f>M4-M6</f>
        <v>5989681.14</v>
      </c>
      <c r="N7" s="494"/>
      <c r="P7" s="494">
        <f t="shared" si="1"/>
        <v>11427816.629999999</v>
      </c>
      <c r="Q7" s="551"/>
      <c r="R7" s="551"/>
      <c r="Y7" s="490"/>
    </row>
    <row r="8" spans="1:26" s="290" customFormat="1" ht="22.5">
      <c r="A8" s="491">
        <v>9</v>
      </c>
      <c r="B8" s="290" t="s">
        <v>88</v>
      </c>
      <c r="C8" s="492"/>
      <c r="D8" s="493">
        <v>1110051.18</v>
      </c>
      <c r="E8" s="492"/>
      <c r="F8" s="492"/>
      <c r="G8" s="492"/>
      <c r="I8" s="492">
        <f t="shared" si="0"/>
        <v>1110051.18</v>
      </c>
      <c r="J8" s="492"/>
      <c r="K8" s="492"/>
      <c r="L8" s="493">
        <v>195891.38</v>
      </c>
      <c r="M8" s="492"/>
      <c r="N8" s="493"/>
      <c r="P8" s="493">
        <f t="shared" si="1"/>
        <v>195891.38</v>
      </c>
      <c r="Q8" s="291">
        <v>255</v>
      </c>
      <c r="R8" s="483">
        <v>38167</v>
      </c>
      <c r="S8" s="429" t="s">
        <v>1012</v>
      </c>
      <c r="T8" s="429">
        <v>1646</v>
      </c>
      <c r="U8" s="292">
        <f>DATI!BJ15</f>
        <v>371351.0736</v>
      </c>
      <c r="V8" s="478" t="s">
        <v>1107</v>
      </c>
      <c r="W8" s="292">
        <f>DATI!BL15</f>
        <v>65532.542400000006</v>
      </c>
      <c r="X8" s="478" t="s">
        <v>1104</v>
      </c>
      <c r="Y8" s="481">
        <f>U8+W8</f>
        <v>436883.61600000004</v>
      </c>
      <c r="Z8" s="292">
        <f>DATI!BI15*0.35</f>
        <v>152909.2656</v>
      </c>
    </row>
    <row r="9" spans="1:25" s="289" customFormat="1" ht="11.25">
      <c r="A9" s="490"/>
      <c r="B9" s="289" t="s">
        <v>87</v>
      </c>
      <c r="C9" s="494">
        <f>C7-C8</f>
        <v>150399</v>
      </c>
      <c r="D9" s="494">
        <f>D7-D8</f>
        <v>5758527.98</v>
      </c>
      <c r="E9" s="494">
        <f>E7-E8</f>
        <v>33853171</v>
      </c>
      <c r="F9" s="494">
        <f>F7-F8</f>
        <v>34000000</v>
      </c>
      <c r="G9" s="494"/>
      <c r="I9" s="495">
        <f t="shared" si="0"/>
        <v>73762097.98</v>
      </c>
      <c r="J9" s="494">
        <f>J7-J8</f>
        <v>124807.16</v>
      </c>
      <c r="K9" s="494">
        <f>K7-K8</f>
        <v>0</v>
      </c>
      <c r="L9" s="494">
        <f>L7-L8</f>
        <v>5117436.95</v>
      </c>
      <c r="M9" s="494">
        <f>M7-M8</f>
        <v>5989681.14</v>
      </c>
      <c r="N9" s="494"/>
      <c r="P9" s="494">
        <f t="shared" si="1"/>
        <v>11231925.25</v>
      </c>
      <c r="Q9" s="551"/>
      <c r="R9" s="551"/>
      <c r="Y9" s="490"/>
    </row>
    <row r="10" spans="1:25" s="290" customFormat="1" ht="33.75">
      <c r="A10" s="491">
        <v>3</v>
      </c>
      <c r="B10" s="290" t="s">
        <v>89</v>
      </c>
      <c r="C10" s="492"/>
      <c r="D10" s="493">
        <v>2125000</v>
      </c>
      <c r="E10" s="492"/>
      <c r="F10" s="492"/>
      <c r="G10" s="492"/>
      <c r="I10" s="492">
        <f t="shared" si="0"/>
        <v>2125000</v>
      </c>
      <c r="J10" s="492"/>
      <c r="K10" s="492"/>
      <c r="L10" s="493">
        <v>375000</v>
      </c>
      <c r="M10" s="492"/>
      <c r="N10" s="493"/>
      <c r="P10" s="493">
        <f t="shared" si="1"/>
        <v>375000</v>
      </c>
      <c r="Q10" s="549">
        <v>202</v>
      </c>
      <c r="R10" s="550">
        <v>38146</v>
      </c>
      <c r="S10" s="429" t="s">
        <v>1013</v>
      </c>
      <c r="T10" s="290">
        <v>1647</v>
      </c>
      <c r="Y10" s="491"/>
    </row>
    <row r="11" spans="1:25" s="289" customFormat="1" ht="11.25">
      <c r="A11" s="490"/>
      <c r="B11" s="289" t="s">
        <v>87</v>
      </c>
      <c r="C11" s="494">
        <f>C9-C10</f>
        <v>150399</v>
      </c>
      <c r="D11" s="494">
        <f>D9-D10</f>
        <v>3633527.9800000004</v>
      </c>
      <c r="E11" s="494">
        <f>E9-E10</f>
        <v>33853171</v>
      </c>
      <c r="F11" s="494">
        <f>F9-F10</f>
        <v>34000000</v>
      </c>
      <c r="G11" s="494"/>
      <c r="I11" s="495">
        <f t="shared" si="0"/>
        <v>71637097.98</v>
      </c>
      <c r="J11" s="494">
        <f>J9-J10</f>
        <v>124807.16</v>
      </c>
      <c r="K11" s="494">
        <f>K9-K10</f>
        <v>0</v>
      </c>
      <c r="L11" s="494">
        <f>L9-L10</f>
        <v>4742436.95</v>
      </c>
      <c r="M11" s="494">
        <f>M9-M10</f>
        <v>5989681.14</v>
      </c>
      <c r="N11" s="494"/>
      <c r="P11" s="494">
        <f t="shared" si="1"/>
        <v>10856925.25</v>
      </c>
      <c r="Q11" s="551"/>
      <c r="R11" s="551"/>
      <c r="Y11" s="490"/>
    </row>
    <row r="12" spans="1:25" s="290" customFormat="1" ht="11.25" customHeight="1">
      <c r="A12" s="491">
        <v>28</v>
      </c>
      <c r="B12" s="290" t="s">
        <v>101</v>
      </c>
      <c r="C12" s="492"/>
      <c r="D12" s="493">
        <v>2125000</v>
      </c>
      <c r="E12" s="492"/>
      <c r="F12" s="492"/>
      <c r="G12" s="492"/>
      <c r="I12" s="492">
        <f t="shared" si="0"/>
        <v>2125000</v>
      </c>
      <c r="J12" s="492"/>
      <c r="K12" s="492"/>
      <c r="L12" s="493">
        <v>375000</v>
      </c>
      <c r="M12" s="492"/>
      <c r="N12" s="493"/>
      <c r="P12" s="493">
        <f t="shared" si="1"/>
        <v>375000</v>
      </c>
      <c r="Q12" s="549">
        <v>204</v>
      </c>
      <c r="R12" s="550">
        <v>38146</v>
      </c>
      <c r="S12" s="429" t="s">
        <v>1014</v>
      </c>
      <c r="T12" s="290">
        <v>1648</v>
      </c>
      <c r="Y12" s="491"/>
    </row>
    <row r="13" spans="1:25" s="289" customFormat="1" ht="11.25">
      <c r="A13" s="490"/>
      <c r="B13" s="289" t="s">
        <v>87</v>
      </c>
      <c r="C13" s="494">
        <f>C11-C12</f>
        <v>150399</v>
      </c>
      <c r="D13" s="494">
        <f>D11-D12</f>
        <v>1508527.9800000004</v>
      </c>
      <c r="E13" s="494">
        <f>E11-E12</f>
        <v>33853171</v>
      </c>
      <c r="F13" s="494">
        <f>F11-F12</f>
        <v>34000000</v>
      </c>
      <c r="G13" s="494"/>
      <c r="I13" s="495">
        <f t="shared" si="0"/>
        <v>69512097.98</v>
      </c>
      <c r="J13" s="494">
        <f>J11-J12</f>
        <v>124807.16</v>
      </c>
      <c r="K13" s="494">
        <f>K11-K12</f>
        <v>0</v>
      </c>
      <c r="L13" s="494">
        <f>L11-L12</f>
        <v>4367436.95</v>
      </c>
      <c r="M13" s="494">
        <f>M11-M12</f>
        <v>5989681.14</v>
      </c>
      <c r="N13" s="494"/>
      <c r="P13" s="494">
        <f t="shared" si="1"/>
        <v>10481925.25</v>
      </c>
      <c r="Q13" s="551"/>
      <c r="R13" s="551"/>
      <c r="Y13" s="490"/>
    </row>
    <row r="14" spans="1:25" s="290" customFormat="1" ht="11.25" customHeight="1">
      <c r="A14" s="491">
        <v>14</v>
      </c>
      <c r="B14" s="290" t="s">
        <v>102</v>
      </c>
      <c r="C14" s="492"/>
      <c r="D14" s="493">
        <v>1500000</v>
      </c>
      <c r="E14" s="493">
        <v>625000</v>
      </c>
      <c r="F14" s="492"/>
      <c r="G14" s="493"/>
      <c r="I14" s="492">
        <f t="shared" si="0"/>
        <v>2125000</v>
      </c>
      <c r="J14" s="492"/>
      <c r="K14" s="492"/>
      <c r="L14" s="493">
        <v>375000</v>
      </c>
      <c r="M14" s="492"/>
      <c r="N14" s="493"/>
      <c r="P14" s="493">
        <f t="shared" si="1"/>
        <v>375000</v>
      </c>
      <c r="Q14" s="549">
        <v>203</v>
      </c>
      <c r="R14" s="550">
        <v>38146</v>
      </c>
      <c r="S14" s="429" t="s">
        <v>1008</v>
      </c>
      <c r="T14" s="290">
        <v>1649</v>
      </c>
      <c r="Y14" s="491"/>
    </row>
    <row r="15" spans="1:25" s="289" customFormat="1" ht="11.25">
      <c r="A15" s="490"/>
      <c r="B15" s="289" t="s">
        <v>87</v>
      </c>
      <c r="C15" s="494">
        <f>C13-C14</f>
        <v>150399</v>
      </c>
      <c r="D15" s="494">
        <f>D13-D14</f>
        <v>8527.980000000447</v>
      </c>
      <c r="E15" s="494">
        <f>E13-E14</f>
        <v>33228171</v>
      </c>
      <c r="F15" s="494">
        <f>F13-F14</f>
        <v>34000000</v>
      </c>
      <c r="G15" s="494"/>
      <c r="I15" s="495">
        <f t="shared" si="0"/>
        <v>67387097.98</v>
      </c>
      <c r="J15" s="494">
        <f>J13-J14</f>
        <v>124807.16</v>
      </c>
      <c r="K15" s="494">
        <f>K13-K14</f>
        <v>0</v>
      </c>
      <c r="L15" s="494">
        <f>L13-L14</f>
        <v>3992436.95</v>
      </c>
      <c r="M15" s="494">
        <f>M13-M14</f>
        <v>5989681.14</v>
      </c>
      <c r="N15" s="494"/>
      <c r="P15" s="494">
        <f t="shared" si="1"/>
        <v>10106925.25</v>
      </c>
      <c r="Q15" s="551"/>
      <c r="R15" s="551"/>
      <c r="Y15" s="490"/>
    </row>
    <row r="16" spans="1:25" s="290" customFormat="1" ht="45">
      <c r="A16" s="491">
        <v>8</v>
      </c>
      <c r="B16" s="290" t="s">
        <v>112</v>
      </c>
      <c r="C16" s="492"/>
      <c r="D16" s="493"/>
      <c r="E16" s="493">
        <v>1551270.4</v>
      </c>
      <c r="F16" s="492"/>
      <c r="G16" s="493"/>
      <c r="I16" s="492">
        <f t="shared" si="0"/>
        <v>1551270.4</v>
      </c>
      <c r="J16" s="492"/>
      <c r="K16" s="492"/>
      <c r="L16" s="493">
        <v>273753.6</v>
      </c>
      <c r="M16" s="492"/>
      <c r="N16" s="493"/>
      <c r="P16" s="493">
        <f t="shared" si="1"/>
        <v>273753.6</v>
      </c>
      <c r="Q16" s="549">
        <v>201</v>
      </c>
      <c r="R16" s="550">
        <v>38146</v>
      </c>
      <c r="S16" s="429" t="s">
        <v>1011</v>
      </c>
      <c r="T16" s="290">
        <v>1650</v>
      </c>
      <c r="Y16" s="491"/>
    </row>
    <row r="17" spans="1:25" s="289" customFormat="1" ht="11.25">
      <c r="A17" s="490"/>
      <c r="B17" s="289" t="s">
        <v>87</v>
      </c>
      <c r="C17" s="494">
        <f>C15-C16</f>
        <v>150399</v>
      </c>
      <c r="D17" s="494">
        <f>D15-D16</f>
        <v>8527.980000000447</v>
      </c>
      <c r="E17" s="494">
        <f>E15-E16</f>
        <v>31676900.6</v>
      </c>
      <c r="F17" s="494">
        <f>F15-F16</f>
        <v>34000000</v>
      </c>
      <c r="G17" s="494"/>
      <c r="I17" s="495">
        <f t="shared" si="0"/>
        <v>65835827.58</v>
      </c>
      <c r="J17" s="494">
        <f>J15-J16</f>
        <v>124807.16</v>
      </c>
      <c r="K17" s="494">
        <f>K15-K16</f>
        <v>0</v>
      </c>
      <c r="L17" s="494">
        <f>L15-L16</f>
        <v>3718683.35</v>
      </c>
      <c r="M17" s="494">
        <f>M15-M16</f>
        <v>5989681.14</v>
      </c>
      <c r="N17" s="494"/>
      <c r="P17" s="494">
        <f t="shared" si="1"/>
        <v>9833171.65</v>
      </c>
      <c r="Q17" s="551"/>
      <c r="R17" s="551"/>
      <c r="Y17" s="490"/>
    </row>
    <row r="18" spans="1:25" s="290" customFormat="1" ht="33.75">
      <c r="A18" s="491">
        <v>34</v>
      </c>
      <c r="B18" s="292" t="s">
        <v>113</v>
      </c>
      <c r="C18" s="492"/>
      <c r="D18" s="493"/>
      <c r="E18" s="493">
        <v>1558922.51</v>
      </c>
      <c r="F18" s="492"/>
      <c r="G18" s="493"/>
      <c r="I18" s="492">
        <f t="shared" si="0"/>
        <v>1558922.51</v>
      </c>
      <c r="J18" s="492"/>
      <c r="K18" s="492"/>
      <c r="L18" s="493">
        <v>275103.97</v>
      </c>
      <c r="M18" s="492"/>
      <c r="N18" s="493"/>
      <c r="P18" s="493">
        <f t="shared" si="1"/>
        <v>275103.97</v>
      </c>
      <c r="Q18" s="549">
        <v>230</v>
      </c>
      <c r="R18" s="550">
        <v>38155</v>
      </c>
      <c r="S18" s="429" t="s">
        <v>2</v>
      </c>
      <c r="T18" s="290">
        <v>1653</v>
      </c>
      <c r="Y18" s="491"/>
    </row>
    <row r="19" spans="1:25" s="289" customFormat="1" ht="11.25">
      <c r="A19" s="490"/>
      <c r="B19" s="289" t="s">
        <v>87</v>
      </c>
      <c r="C19" s="494">
        <f>C17-C18</f>
        <v>150399</v>
      </c>
      <c r="D19" s="494">
        <f>D17-D18</f>
        <v>8527.980000000447</v>
      </c>
      <c r="E19" s="494">
        <f>E17-E18</f>
        <v>30117978.09</v>
      </c>
      <c r="F19" s="494">
        <f>F17-F18</f>
        <v>34000000</v>
      </c>
      <c r="G19" s="494"/>
      <c r="I19" s="495">
        <f t="shared" si="0"/>
        <v>64276905.07</v>
      </c>
      <c r="J19" s="494">
        <f>J17-J18</f>
        <v>124807.16</v>
      </c>
      <c r="K19" s="494">
        <f>K17-K18</f>
        <v>0</v>
      </c>
      <c r="L19" s="494">
        <f>L17-L18</f>
        <v>3443579.38</v>
      </c>
      <c r="M19" s="494">
        <f>M17-M18</f>
        <v>5989681.14</v>
      </c>
      <c r="N19" s="494"/>
      <c r="P19" s="494">
        <f t="shared" si="1"/>
        <v>9558067.68</v>
      </c>
      <c r="Q19" s="551"/>
      <c r="R19" s="551"/>
      <c r="Y19" s="490"/>
    </row>
    <row r="20" spans="1:25" s="290" customFormat="1" ht="44.25" customHeight="1">
      <c r="A20" s="491">
        <v>41</v>
      </c>
      <c r="B20" s="290" t="s">
        <v>114</v>
      </c>
      <c r="C20" s="492"/>
      <c r="D20" s="493"/>
      <c r="E20" s="493">
        <v>687225</v>
      </c>
      <c r="F20" s="492"/>
      <c r="G20" s="493"/>
      <c r="I20" s="492">
        <f t="shared" si="0"/>
        <v>687225</v>
      </c>
      <c r="J20" s="492"/>
      <c r="K20" s="492"/>
      <c r="L20" s="493">
        <v>121275</v>
      </c>
      <c r="M20" s="492"/>
      <c r="N20" s="493"/>
      <c r="P20" s="493">
        <f t="shared" si="1"/>
        <v>121275</v>
      </c>
      <c r="Q20" s="549">
        <v>205</v>
      </c>
      <c r="R20" s="550">
        <v>38146</v>
      </c>
      <c r="S20" s="429" t="s">
        <v>3</v>
      </c>
      <c r="T20" s="290">
        <v>1654</v>
      </c>
      <c r="Y20" s="491"/>
    </row>
    <row r="21" spans="1:25" s="289" customFormat="1" ht="11.25">
      <c r="A21" s="490"/>
      <c r="B21" s="289" t="s">
        <v>87</v>
      </c>
      <c r="C21" s="494">
        <f>C19-C20</f>
        <v>150399</v>
      </c>
      <c r="D21" s="494">
        <f>D19-D20</f>
        <v>8527.980000000447</v>
      </c>
      <c r="E21" s="494">
        <f>E19-E20</f>
        <v>29430753.09</v>
      </c>
      <c r="F21" s="494">
        <f>F19-F20</f>
        <v>34000000</v>
      </c>
      <c r="G21" s="494"/>
      <c r="I21" s="495">
        <f t="shared" si="0"/>
        <v>63589680.07</v>
      </c>
      <c r="J21" s="494">
        <f>J19-J20</f>
        <v>124807.16</v>
      </c>
      <c r="K21" s="494">
        <f>K19-K20</f>
        <v>0</v>
      </c>
      <c r="L21" s="494">
        <f>L19-L20</f>
        <v>3322304.38</v>
      </c>
      <c r="M21" s="494">
        <f>M19-M20</f>
        <v>5989681.14</v>
      </c>
      <c r="N21" s="494"/>
      <c r="P21" s="494">
        <f t="shared" si="1"/>
        <v>9436792.68</v>
      </c>
      <c r="Q21" s="551"/>
      <c r="R21" s="551"/>
      <c r="Y21" s="490"/>
    </row>
    <row r="22" spans="1:25" s="290" customFormat="1" ht="48.75" customHeight="1">
      <c r="A22" s="491">
        <v>25</v>
      </c>
      <c r="B22" s="290" t="s">
        <v>115</v>
      </c>
      <c r="C22" s="492"/>
      <c r="D22" s="493"/>
      <c r="E22" s="493">
        <v>1249356.65</v>
      </c>
      <c r="F22" s="492"/>
      <c r="G22" s="493"/>
      <c r="I22" s="492">
        <f t="shared" si="0"/>
        <v>1249356.65</v>
      </c>
      <c r="J22" s="492"/>
      <c r="K22" s="492"/>
      <c r="L22" s="493">
        <v>220474.7</v>
      </c>
      <c r="M22" s="492"/>
      <c r="N22" s="493"/>
      <c r="P22" s="493">
        <f t="shared" si="1"/>
        <v>220474.7</v>
      </c>
      <c r="Q22" s="549">
        <v>253</v>
      </c>
      <c r="R22" s="550">
        <v>38166</v>
      </c>
      <c r="S22" s="429" t="s">
        <v>4</v>
      </c>
      <c r="T22" s="290">
        <v>1655</v>
      </c>
      <c r="Y22" s="491"/>
    </row>
    <row r="23" spans="1:25" s="289" customFormat="1" ht="11.25">
      <c r="A23" s="490"/>
      <c r="B23" s="289" t="s">
        <v>87</v>
      </c>
      <c r="C23" s="494">
        <f>C21-C22</f>
        <v>150399</v>
      </c>
      <c r="D23" s="494">
        <f>D21-D22</f>
        <v>8527.980000000447</v>
      </c>
      <c r="E23" s="494">
        <f>E21-E22</f>
        <v>28181396.44</v>
      </c>
      <c r="F23" s="494">
        <f>F21-F22</f>
        <v>34000000</v>
      </c>
      <c r="G23" s="494"/>
      <c r="I23" s="495">
        <f t="shared" si="0"/>
        <v>62340323.42</v>
      </c>
      <c r="J23" s="494">
        <f>J21-J22</f>
        <v>124807.16</v>
      </c>
      <c r="K23" s="494">
        <f>K21-K22</f>
        <v>0</v>
      </c>
      <c r="L23" s="494">
        <f>L21-L22</f>
        <v>3101829.6799999997</v>
      </c>
      <c r="M23" s="494">
        <f>M21-M22</f>
        <v>5989681.14</v>
      </c>
      <c r="N23" s="494"/>
      <c r="P23" s="494">
        <f t="shared" si="1"/>
        <v>9216317.98</v>
      </c>
      <c r="Q23" s="551"/>
      <c r="R23" s="551"/>
      <c r="Y23" s="490"/>
    </row>
    <row r="24" spans="1:25" s="290" customFormat="1" ht="36" customHeight="1">
      <c r="A24" s="491">
        <v>10</v>
      </c>
      <c r="B24" s="290" t="s">
        <v>116</v>
      </c>
      <c r="C24" s="492"/>
      <c r="D24" s="493"/>
      <c r="E24" s="493">
        <v>477048.39</v>
      </c>
      <c r="F24" s="492"/>
      <c r="G24" s="493"/>
      <c r="I24" s="492">
        <f t="shared" si="0"/>
        <v>477048.39</v>
      </c>
      <c r="J24" s="492"/>
      <c r="K24" s="492"/>
      <c r="L24" s="290">
        <v>0</v>
      </c>
      <c r="M24" s="493">
        <v>84185.01</v>
      </c>
      <c r="P24" s="493">
        <f t="shared" si="1"/>
        <v>84185.01</v>
      </c>
      <c r="Q24" s="549">
        <v>254</v>
      </c>
      <c r="R24" s="550">
        <v>38166</v>
      </c>
      <c r="S24" s="429" t="s">
        <v>1045</v>
      </c>
      <c r="T24" s="290">
        <v>1656</v>
      </c>
      <c r="Y24" s="491"/>
    </row>
    <row r="25" spans="1:25" s="289" customFormat="1" ht="11.25">
      <c r="A25" s="490"/>
      <c r="B25" s="289" t="s">
        <v>87</v>
      </c>
      <c r="C25" s="494">
        <f>C23-C24</f>
        <v>150399</v>
      </c>
      <c r="D25" s="494">
        <f>D23-D24</f>
        <v>8527.980000000447</v>
      </c>
      <c r="E25" s="494">
        <f>E23-E24</f>
        <v>27704348.05</v>
      </c>
      <c r="F25" s="494">
        <f>F23-F24</f>
        <v>34000000</v>
      </c>
      <c r="G25" s="494"/>
      <c r="I25" s="495">
        <f t="shared" si="0"/>
        <v>61863275.03</v>
      </c>
      <c r="J25" s="494">
        <f>J23-J24</f>
        <v>124807.16</v>
      </c>
      <c r="K25" s="494">
        <f>K23-K24</f>
        <v>0</v>
      </c>
      <c r="L25" s="494">
        <f>L23-L24</f>
        <v>3101829.6799999997</v>
      </c>
      <c r="M25" s="494">
        <f>M23-M24</f>
        <v>5905496.13</v>
      </c>
      <c r="N25" s="494"/>
      <c r="P25" s="494">
        <f t="shared" si="1"/>
        <v>9132132.969999999</v>
      </c>
      <c r="Q25" s="551"/>
      <c r="R25" s="551"/>
      <c r="Y25" s="490"/>
    </row>
    <row r="26" spans="1:25" s="511" customFormat="1" ht="14.25" customHeight="1">
      <c r="A26" s="510">
        <v>14</v>
      </c>
      <c r="B26" s="511" t="s">
        <v>117</v>
      </c>
      <c r="C26" s="512"/>
      <c r="D26" s="513"/>
      <c r="E26" s="513">
        <v>1115064</v>
      </c>
      <c r="F26" s="512"/>
      <c r="G26" s="513"/>
      <c r="I26" s="512">
        <f t="shared" si="0"/>
        <v>1115064</v>
      </c>
      <c r="J26" s="512"/>
      <c r="K26" s="512"/>
      <c r="L26" s="513">
        <v>196776</v>
      </c>
      <c r="M26" s="512"/>
      <c r="N26" s="513"/>
      <c r="P26" s="513">
        <f t="shared" si="1"/>
        <v>196776</v>
      </c>
      <c r="Q26" s="552">
        <v>261</v>
      </c>
      <c r="R26" s="553">
        <v>38079</v>
      </c>
      <c r="S26" s="511" t="s">
        <v>118</v>
      </c>
      <c r="T26" s="511">
        <v>1658</v>
      </c>
      <c r="Y26" s="510"/>
    </row>
    <row r="27" spans="1:25" s="289" customFormat="1" ht="11.25">
      <c r="A27" s="490"/>
      <c r="B27" s="289" t="s">
        <v>87</v>
      </c>
      <c r="C27" s="494">
        <f>C25-C26</f>
        <v>150399</v>
      </c>
      <c r="D27" s="494">
        <f>D25-D26</f>
        <v>8527.980000000447</v>
      </c>
      <c r="E27" s="494">
        <f>E25-E26</f>
        <v>26589284.05</v>
      </c>
      <c r="F27" s="494">
        <f>F25-F26</f>
        <v>34000000</v>
      </c>
      <c r="G27" s="494"/>
      <c r="I27" s="495">
        <f t="shared" si="0"/>
        <v>60748211.03</v>
      </c>
      <c r="J27" s="494">
        <f>J25-J26</f>
        <v>124807.16</v>
      </c>
      <c r="K27" s="494">
        <f>K25-K26</f>
        <v>0</v>
      </c>
      <c r="L27" s="494">
        <f>L25-L26</f>
        <v>2905053.6799999997</v>
      </c>
      <c r="M27" s="494">
        <f>M25-M26</f>
        <v>5905496.13</v>
      </c>
      <c r="N27" s="494"/>
      <c r="P27" s="494">
        <f t="shared" si="1"/>
        <v>8935356.969999999</v>
      </c>
      <c r="Q27" s="551"/>
      <c r="R27" s="551"/>
      <c r="Y27" s="490"/>
    </row>
    <row r="28" spans="1:25" s="290" customFormat="1" ht="33.75">
      <c r="A28" s="491">
        <v>32</v>
      </c>
      <c r="B28" s="290" t="s">
        <v>119</v>
      </c>
      <c r="C28" s="492"/>
      <c r="D28" s="493"/>
      <c r="E28" s="493">
        <v>560201.85</v>
      </c>
      <c r="F28" s="493"/>
      <c r="G28" s="493"/>
      <c r="I28" s="493">
        <f t="shared" si="0"/>
        <v>560201.85</v>
      </c>
      <c r="J28" s="493"/>
      <c r="K28" s="493"/>
      <c r="L28" s="493">
        <v>98859.15</v>
      </c>
      <c r="M28" s="493"/>
      <c r="N28" s="493"/>
      <c r="P28" s="493">
        <f t="shared" si="1"/>
        <v>98859.15</v>
      </c>
      <c r="Q28" s="549">
        <v>262</v>
      </c>
      <c r="R28" s="550">
        <v>38170</v>
      </c>
      <c r="S28" s="429" t="s">
        <v>1044</v>
      </c>
      <c r="T28" s="290">
        <v>1660</v>
      </c>
      <c r="Y28" s="491"/>
    </row>
    <row r="29" spans="1:25" s="289" customFormat="1" ht="11.25">
      <c r="A29" s="490"/>
      <c r="B29" s="289" t="s">
        <v>87</v>
      </c>
      <c r="C29" s="494">
        <f>C27-C28</f>
        <v>150399</v>
      </c>
      <c r="D29" s="494">
        <f>D27-D28</f>
        <v>8527.980000000447</v>
      </c>
      <c r="E29" s="494">
        <f>E27-E28</f>
        <v>26029082.2</v>
      </c>
      <c r="F29" s="494">
        <f>F27-F28</f>
        <v>34000000</v>
      </c>
      <c r="G29" s="494"/>
      <c r="I29" s="494">
        <f t="shared" si="0"/>
        <v>60188009.18</v>
      </c>
      <c r="J29" s="494">
        <f>J27-J28</f>
        <v>124807.16</v>
      </c>
      <c r="K29" s="494">
        <f>K27-K28</f>
        <v>0</v>
      </c>
      <c r="L29" s="494">
        <f>L27-L28</f>
        <v>2806194.53</v>
      </c>
      <c r="M29" s="494">
        <f>M27-M28</f>
        <v>5905496.13</v>
      </c>
      <c r="N29" s="494"/>
      <c r="P29" s="494">
        <f t="shared" si="1"/>
        <v>8836497.82</v>
      </c>
      <c r="Q29" s="551"/>
      <c r="R29" s="551"/>
      <c r="Y29" s="490"/>
    </row>
    <row r="30" spans="1:25" s="290" customFormat="1" ht="56.25">
      <c r="A30" s="491">
        <v>23</v>
      </c>
      <c r="B30" s="290" t="s">
        <v>121</v>
      </c>
      <c r="C30" s="492"/>
      <c r="D30" s="493"/>
      <c r="E30" s="493">
        <v>264641.98</v>
      </c>
      <c r="F30" s="493"/>
      <c r="G30" s="493"/>
      <c r="I30" s="493">
        <f t="shared" si="0"/>
        <v>264641.98</v>
      </c>
      <c r="J30" s="493">
        <v>46701.53</v>
      </c>
      <c r="K30" s="493"/>
      <c r="L30" s="493"/>
      <c r="M30" s="493"/>
      <c r="N30" s="493"/>
      <c r="P30" s="493">
        <f t="shared" si="1"/>
        <v>46701.53</v>
      </c>
      <c r="Q30" s="549">
        <v>250</v>
      </c>
      <c r="R30" s="550">
        <v>38166</v>
      </c>
      <c r="S30" s="429" t="s">
        <v>7</v>
      </c>
      <c r="T30" s="290">
        <v>1661</v>
      </c>
      <c r="Y30" s="491"/>
    </row>
    <row r="31" spans="1:25" s="289" customFormat="1" ht="11.25">
      <c r="A31" s="490"/>
      <c r="B31" s="289" t="s">
        <v>87</v>
      </c>
      <c r="C31" s="494">
        <f>C29-C30</f>
        <v>150399</v>
      </c>
      <c r="D31" s="494">
        <f>D29-D30</f>
        <v>8527.980000000447</v>
      </c>
      <c r="E31" s="494">
        <f>E29-E30</f>
        <v>25764440.22</v>
      </c>
      <c r="F31" s="494">
        <f>F29-F30</f>
        <v>34000000</v>
      </c>
      <c r="G31" s="494"/>
      <c r="I31" s="494">
        <f t="shared" si="0"/>
        <v>59923367.2</v>
      </c>
      <c r="J31" s="494">
        <f>J29-J30</f>
        <v>78105.63</v>
      </c>
      <c r="K31" s="494">
        <f>K29-K30</f>
        <v>0</v>
      </c>
      <c r="L31" s="494">
        <f>L29-L30</f>
        <v>2806194.53</v>
      </c>
      <c r="M31" s="494">
        <f>M29-M30</f>
        <v>5905496.13</v>
      </c>
      <c r="N31" s="494"/>
      <c r="P31" s="494">
        <f t="shared" si="1"/>
        <v>8789796.29</v>
      </c>
      <c r="Q31" s="551"/>
      <c r="R31" s="551"/>
      <c r="Y31" s="490"/>
    </row>
    <row r="32" spans="1:26" s="290" customFormat="1" ht="45">
      <c r="A32" s="491">
        <v>31</v>
      </c>
      <c r="B32" s="290" t="s">
        <v>122</v>
      </c>
      <c r="C32" s="493">
        <v>150399</v>
      </c>
      <c r="D32" s="493">
        <v>8527.98</v>
      </c>
      <c r="E32" s="493">
        <v>124094.46</v>
      </c>
      <c r="F32" s="493"/>
      <c r="G32" s="493"/>
      <c r="I32" s="493">
        <f t="shared" si="0"/>
        <v>283021.44</v>
      </c>
      <c r="J32" s="493">
        <v>49944.96</v>
      </c>
      <c r="K32" s="493"/>
      <c r="L32" s="493"/>
      <c r="M32" s="493"/>
      <c r="N32" s="493"/>
      <c r="P32" s="493">
        <f t="shared" si="1"/>
        <v>49944.96</v>
      </c>
      <c r="Q32" s="549">
        <v>251</v>
      </c>
      <c r="R32" s="550">
        <v>38166</v>
      </c>
      <c r="S32" s="429" t="s">
        <v>6</v>
      </c>
      <c r="T32" s="290">
        <v>1663</v>
      </c>
      <c r="U32" s="292">
        <f>DATI!BJ19</f>
        <v>428303.967</v>
      </c>
      <c r="V32" s="478" t="s">
        <v>1108</v>
      </c>
      <c r="W32" s="292">
        <f>DATI!BL19</f>
        <v>75583.053</v>
      </c>
      <c r="X32" s="478" t="s">
        <v>1107</v>
      </c>
      <c r="Y32" s="481">
        <f>U32+W32</f>
        <v>503887.02</v>
      </c>
      <c r="Z32" s="292">
        <f>DATI!BI19*0.35</f>
        <v>176360.457</v>
      </c>
    </row>
    <row r="33" spans="1:25" s="289" customFormat="1" ht="11.25">
      <c r="A33" s="490"/>
      <c r="B33" s="289" t="s">
        <v>87</v>
      </c>
      <c r="C33" s="494">
        <f>C31-C32</f>
        <v>0</v>
      </c>
      <c r="D33" s="494">
        <f>D31-D32</f>
        <v>4.474713932722807E-10</v>
      </c>
      <c r="E33" s="494">
        <f>E31-E32</f>
        <v>25640345.759999998</v>
      </c>
      <c r="F33" s="494">
        <f>F31-F32</f>
        <v>34000000</v>
      </c>
      <c r="G33" s="494"/>
      <c r="I33" s="494">
        <f t="shared" si="0"/>
        <v>59640345.76</v>
      </c>
      <c r="J33" s="494">
        <f>J31-J32</f>
        <v>28160.670000000006</v>
      </c>
      <c r="K33" s="494">
        <f>K31-K32</f>
        <v>0</v>
      </c>
      <c r="L33" s="494">
        <f>L31-L32</f>
        <v>2806194.53</v>
      </c>
      <c r="M33" s="494">
        <f>M31-M32</f>
        <v>5905496.13</v>
      </c>
      <c r="N33" s="494"/>
      <c r="P33" s="494">
        <f t="shared" si="1"/>
        <v>8739851.33</v>
      </c>
      <c r="Q33" s="551"/>
      <c r="R33" s="551"/>
      <c r="Y33" s="490"/>
    </row>
    <row r="34" spans="1:26" s="290" customFormat="1" ht="25.5" customHeight="1">
      <c r="A34" s="491">
        <v>45</v>
      </c>
      <c r="B34" s="290" t="s">
        <v>123</v>
      </c>
      <c r="C34" s="493"/>
      <c r="D34" s="493"/>
      <c r="E34" s="493">
        <v>325294.54</v>
      </c>
      <c r="F34" s="493"/>
      <c r="G34" s="493"/>
      <c r="I34" s="493">
        <f t="shared" si="0"/>
        <v>325294.54</v>
      </c>
      <c r="J34" s="493">
        <v>28160.67</v>
      </c>
      <c r="K34" s="493"/>
      <c r="L34" s="493">
        <v>29244.25</v>
      </c>
      <c r="M34" s="493"/>
      <c r="N34" s="493"/>
      <c r="P34" s="493">
        <f t="shared" si="1"/>
        <v>57404.92</v>
      </c>
      <c r="Q34" s="549">
        <v>252</v>
      </c>
      <c r="R34" s="550">
        <v>38166</v>
      </c>
      <c r="S34" s="429" t="s">
        <v>5</v>
      </c>
      <c r="T34" s="290">
        <v>1664</v>
      </c>
      <c r="U34" s="292">
        <f>DATI!BJ9</f>
        <v>637500</v>
      </c>
      <c r="V34" s="393">
        <v>2003</v>
      </c>
      <c r="W34" s="292">
        <f>DATI!BL9</f>
        <v>112500</v>
      </c>
      <c r="X34" s="393">
        <v>2001</v>
      </c>
      <c r="Y34" s="481">
        <f>U34+W34</f>
        <v>750000</v>
      </c>
      <c r="Z34" s="292">
        <f>DATI!BI9*0.35</f>
        <v>262500</v>
      </c>
    </row>
    <row r="35" spans="1:25" s="289" customFormat="1" ht="11.25">
      <c r="A35" s="490"/>
      <c r="B35" s="289" t="s">
        <v>87</v>
      </c>
      <c r="C35" s="494">
        <f>C33-C34</f>
        <v>0</v>
      </c>
      <c r="D35" s="494">
        <f>D33-D34</f>
        <v>4.474713932722807E-10</v>
      </c>
      <c r="E35" s="494">
        <f>E33-E34</f>
        <v>25315051.22</v>
      </c>
      <c r="F35" s="494">
        <f>F33-F34</f>
        <v>34000000</v>
      </c>
      <c r="G35" s="494"/>
      <c r="I35" s="494">
        <f t="shared" si="0"/>
        <v>59315051.22</v>
      </c>
      <c r="J35" s="494">
        <f>J33-J34</f>
        <v>0</v>
      </c>
      <c r="K35" s="494">
        <f>K33-K34</f>
        <v>0</v>
      </c>
      <c r="L35" s="494">
        <f>L33-L34</f>
        <v>2776950.28</v>
      </c>
      <c r="M35" s="494">
        <f>M33-M34</f>
        <v>5905496.13</v>
      </c>
      <c r="N35" s="494"/>
      <c r="P35" s="494">
        <f t="shared" si="1"/>
        <v>8682446.41</v>
      </c>
      <c r="Q35" s="551"/>
      <c r="R35" s="551"/>
      <c r="Y35" s="490"/>
    </row>
    <row r="36" spans="1:25" s="290" customFormat="1" ht="11.25" customHeight="1">
      <c r="A36" s="491">
        <v>26</v>
      </c>
      <c r="B36" s="290" t="s">
        <v>746</v>
      </c>
      <c r="C36" s="493"/>
      <c r="D36" s="493"/>
      <c r="E36" s="493">
        <v>450165.95</v>
      </c>
      <c r="F36" s="493"/>
      <c r="G36" s="493"/>
      <c r="I36" s="493">
        <f t="shared" si="0"/>
        <v>450165.95</v>
      </c>
      <c r="J36" s="493"/>
      <c r="K36" s="493"/>
      <c r="L36" s="493">
        <v>79441.05</v>
      </c>
      <c r="M36" s="493"/>
      <c r="N36" s="493"/>
      <c r="P36" s="493">
        <f t="shared" si="1"/>
        <v>79441.05</v>
      </c>
      <c r="Q36" s="549">
        <v>265</v>
      </c>
      <c r="R36" s="550">
        <v>38177</v>
      </c>
      <c r="S36" s="429" t="s">
        <v>67</v>
      </c>
      <c r="T36" s="290">
        <v>1681</v>
      </c>
      <c r="Y36" s="491"/>
    </row>
    <row r="37" spans="1:25" s="289" customFormat="1" ht="11.25">
      <c r="A37" s="490"/>
      <c r="B37" s="289" t="s">
        <v>87</v>
      </c>
      <c r="C37" s="494">
        <f>C35-C36</f>
        <v>0</v>
      </c>
      <c r="D37" s="494">
        <f>D35-D36</f>
        <v>4.474713932722807E-10</v>
      </c>
      <c r="E37" s="494">
        <f>E35-E36</f>
        <v>24864885.27</v>
      </c>
      <c r="F37" s="494">
        <f>F35-F36</f>
        <v>34000000</v>
      </c>
      <c r="G37" s="494"/>
      <c r="I37" s="494">
        <f t="shared" si="0"/>
        <v>58864885.269999996</v>
      </c>
      <c r="J37" s="494">
        <f>J35-J36</f>
        <v>0</v>
      </c>
      <c r="K37" s="494">
        <f>K35-K36</f>
        <v>0</v>
      </c>
      <c r="L37" s="494">
        <f>L35-L36</f>
        <v>2697509.23</v>
      </c>
      <c r="M37" s="494">
        <f>M35-M36</f>
        <v>5905496.13</v>
      </c>
      <c r="N37" s="494"/>
      <c r="P37" s="494">
        <f t="shared" si="1"/>
        <v>8603005.36</v>
      </c>
      <c r="Q37" s="551"/>
      <c r="R37" s="551"/>
      <c r="Y37" s="490"/>
    </row>
    <row r="38" spans="1:25" s="290" customFormat="1" ht="15.75" customHeight="1">
      <c r="A38" s="491">
        <v>4</v>
      </c>
      <c r="B38" s="290" t="s">
        <v>1106</v>
      </c>
      <c r="C38" s="493"/>
      <c r="D38" s="493"/>
      <c r="E38" s="493">
        <v>1073286.5</v>
      </c>
      <c r="F38" s="493"/>
      <c r="G38" s="493"/>
      <c r="I38" s="493">
        <f aca="true" t="shared" si="2" ref="I38:I55">SUM(C38:G38)</f>
        <v>1073286.5</v>
      </c>
      <c r="J38" s="493"/>
      <c r="K38" s="493"/>
      <c r="L38" s="493">
        <v>189403.5</v>
      </c>
      <c r="M38" s="493"/>
      <c r="N38" s="493"/>
      <c r="P38" s="493">
        <f aca="true" t="shared" si="3" ref="P38:P69">SUM(J38:N38)</f>
        <v>189403.5</v>
      </c>
      <c r="Q38" s="549">
        <v>266</v>
      </c>
      <c r="R38" s="550">
        <v>38239</v>
      </c>
      <c r="S38" s="429" t="s">
        <v>68</v>
      </c>
      <c r="T38" s="290">
        <v>1682</v>
      </c>
      <c r="Y38" s="491"/>
    </row>
    <row r="39" spans="1:25" s="289" customFormat="1" ht="11.25">
      <c r="A39" s="490"/>
      <c r="B39" s="289" t="s">
        <v>87</v>
      </c>
      <c r="C39" s="494">
        <f>C37-C38</f>
        <v>0</v>
      </c>
      <c r="D39" s="494">
        <f>D37-D38</f>
        <v>4.474713932722807E-10</v>
      </c>
      <c r="E39" s="494">
        <f>E37-E38</f>
        <v>23791598.77</v>
      </c>
      <c r="F39" s="494">
        <f>F37-F38</f>
        <v>34000000</v>
      </c>
      <c r="G39" s="494"/>
      <c r="I39" s="494">
        <f t="shared" si="2"/>
        <v>57791598.769999996</v>
      </c>
      <c r="J39" s="494">
        <f>J37-J38</f>
        <v>0</v>
      </c>
      <c r="K39" s="494">
        <f>K37-K38</f>
        <v>0</v>
      </c>
      <c r="L39" s="494">
        <f>L37-L38</f>
        <v>2508105.73</v>
      </c>
      <c r="M39" s="494">
        <f>M37-M38</f>
        <v>5905496.13</v>
      </c>
      <c r="N39" s="494"/>
      <c r="P39" s="494">
        <f t="shared" si="3"/>
        <v>8413601.86</v>
      </c>
      <c r="Q39" s="551"/>
      <c r="R39" s="551"/>
      <c r="Y39" s="490"/>
    </row>
    <row r="40" spans="1:25" s="290" customFormat="1" ht="18" customHeight="1">
      <c r="A40" s="491">
        <v>15</v>
      </c>
      <c r="B40" s="290" t="s">
        <v>1117</v>
      </c>
      <c r="C40" s="493"/>
      <c r="D40" s="493"/>
      <c r="E40" s="493">
        <v>640537.56</v>
      </c>
      <c r="F40" s="493"/>
      <c r="G40" s="493"/>
      <c r="I40" s="493">
        <f t="shared" si="2"/>
        <v>640537.56</v>
      </c>
      <c r="J40" s="493"/>
      <c r="K40" s="493"/>
      <c r="L40" s="493">
        <v>113036.04</v>
      </c>
      <c r="M40" s="493"/>
      <c r="N40" s="493"/>
      <c r="P40" s="493">
        <f t="shared" si="3"/>
        <v>113036.04</v>
      </c>
      <c r="Q40" s="549">
        <v>267</v>
      </c>
      <c r="R40" s="550">
        <v>38177</v>
      </c>
      <c r="S40" s="429" t="s">
        <v>69</v>
      </c>
      <c r="T40" s="290">
        <v>1683</v>
      </c>
      <c r="Y40" s="491"/>
    </row>
    <row r="41" spans="1:25" s="289" customFormat="1" ht="11.25">
      <c r="A41" s="490"/>
      <c r="B41" s="289" t="s">
        <v>87</v>
      </c>
      <c r="C41" s="494">
        <f>C39-C40</f>
        <v>0</v>
      </c>
      <c r="D41" s="494">
        <f>D39-D40</f>
        <v>4.474713932722807E-10</v>
      </c>
      <c r="E41" s="494">
        <f>E39-E40</f>
        <v>23151061.21</v>
      </c>
      <c r="F41" s="494">
        <f>F39-F40</f>
        <v>34000000</v>
      </c>
      <c r="G41" s="494"/>
      <c r="I41" s="494">
        <f t="shared" si="2"/>
        <v>57151061.21</v>
      </c>
      <c r="J41" s="494">
        <f>J39-J40</f>
        <v>0</v>
      </c>
      <c r="K41" s="494">
        <f>K39-K40</f>
        <v>0</v>
      </c>
      <c r="L41" s="494">
        <f>L39-L40</f>
        <v>2395069.69</v>
      </c>
      <c r="M41" s="494">
        <f>M39-M40</f>
        <v>5905496.13</v>
      </c>
      <c r="N41" s="494"/>
      <c r="P41" s="494">
        <f t="shared" si="3"/>
        <v>8300565.82</v>
      </c>
      <c r="Q41" s="551"/>
      <c r="R41" s="551"/>
      <c r="Y41" s="490"/>
    </row>
    <row r="42" spans="1:26" s="290" customFormat="1" ht="21.75" customHeight="1">
      <c r="A42" s="491">
        <v>39</v>
      </c>
      <c r="B42" s="290" t="s">
        <v>527</v>
      </c>
      <c r="C42" s="493"/>
      <c r="D42" s="493"/>
      <c r="E42" s="493">
        <v>413054.5</v>
      </c>
      <c r="F42" s="493"/>
      <c r="G42" s="493"/>
      <c r="I42" s="493">
        <f t="shared" si="2"/>
        <v>413054.5</v>
      </c>
      <c r="J42" s="493"/>
      <c r="K42" s="493"/>
      <c r="L42" s="493">
        <v>72891.98</v>
      </c>
      <c r="M42" s="493"/>
      <c r="N42" s="493"/>
      <c r="P42" s="493">
        <f t="shared" si="3"/>
        <v>72891.98</v>
      </c>
      <c r="Q42" s="549">
        <v>268</v>
      </c>
      <c r="R42" s="550">
        <v>38177</v>
      </c>
      <c r="S42" s="429" t="s">
        <v>65</v>
      </c>
      <c r="T42" s="290">
        <v>1679</v>
      </c>
      <c r="U42" s="292">
        <f>DATI!BJ11</f>
        <v>374806.99425</v>
      </c>
      <c r="V42" s="478" t="s">
        <v>1104</v>
      </c>
      <c r="W42" s="292">
        <f>DATI!BL11</f>
        <v>66142.41075</v>
      </c>
      <c r="X42" s="290">
        <v>2003</v>
      </c>
      <c r="Y42" s="481">
        <f>U42+W42</f>
        <v>440949.40499999997</v>
      </c>
      <c r="Z42" s="292">
        <f>DATI!BI11*0.35</f>
        <v>154332.29175</v>
      </c>
    </row>
    <row r="43" spans="1:25" s="289" customFormat="1" ht="11.25">
      <c r="A43" s="490"/>
      <c r="B43" s="289" t="s">
        <v>87</v>
      </c>
      <c r="C43" s="494">
        <f>C41-C42</f>
        <v>0</v>
      </c>
      <c r="D43" s="494">
        <f>D41-D42</f>
        <v>4.474713932722807E-10</v>
      </c>
      <c r="E43" s="494">
        <f>E41-E42</f>
        <v>22738006.71</v>
      </c>
      <c r="F43" s="494">
        <f>F41-F42</f>
        <v>34000000</v>
      </c>
      <c r="G43" s="494"/>
      <c r="I43" s="494">
        <f t="shared" si="2"/>
        <v>56738006.71</v>
      </c>
      <c r="J43" s="494">
        <f>J41-J42</f>
        <v>0</v>
      </c>
      <c r="K43" s="494">
        <f>K41-K42</f>
        <v>0</v>
      </c>
      <c r="L43" s="494">
        <f>L41-L42</f>
        <v>2322177.71</v>
      </c>
      <c r="M43" s="494">
        <f>M41-M42</f>
        <v>5905496.13</v>
      </c>
      <c r="N43" s="494"/>
      <c r="P43" s="494">
        <f t="shared" si="3"/>
        <v>8227673.84</v>
      </c>
      <c r="Q43" s="551"/>
      <c r="R43" s="551"/>
      <c r="Y43" s="490"/>
    </row>
    <row r="44" spans="1:26" s="290" customFormat="1" ht="21.75" customHeight="1">
      <c r="A44" s="491">
        <v>27</v>
      </c>
      <c r="B44" s="290" t="s">
        <v>124</v>
      </c>
      <c r="C44" s="493"/>
      <c r="D44" s="493"/>
      <c r="E44" s="493">
        <v>394187.5</v>
      </c>
      <c r="F44" s="493"/>
      <c r="G44" s="493"/>
      <c r="I44" s="493">
        <f t="shared" si="2"/>
        <v>394187.5</v>
      </c>
      <c r="J44" s="493"/>
      <c r="K44" s="493"/>
      <c r="L44" s="493">
        <v>69562.5</v>
      </c>
      <c r="M44" s="493"/>
      <c r="N44" s="493"/>
      <c r="P44" s="493">
        <f t="shared" si="3"/>
        <v>69562.5</v>
      </c>
      <c r="Q44" s="549">
        <v>269</v>
      </c>
      <c r="R44" s="550">
        <v>38177</v>
      </c>
      <c r="S44" s="429" t="s">
        <v>66</v>
      </c>
      <c r="T44" s="290">
        <v>1680</v>
      </c>
      <c r="U44" s="292">
        <f>DATI!BJ13</f>
        <v>101150</v>
      </c>
      <c r="V44" s="478" t="s">
        <v>1104</v>
      </c>
      <c r="W44" s="292">
        <f>DATI!BL13</f>
        <v>17850</v>
      </c>
      <c r="X44" s="290">
        <v>2003</v>
      </c>
      <c r="Y44" s="481">
        <f>U44+W44</f>
        <v>119000</v>
      </c>
      <c r="Z44" s="292">
        <f>DATI!BI13*0.35</f>
        <v>41650</v>
      </c>
    </row>
    <row r="45" spans="1:25" s="289" customFormat="1" ht="11.25">
      <c r="A45" s="490"/>
      <c r="B45" s="289" t="s">
        <v>87</v>
      </c>
      <c r="C45" s="494">
        <f>C43-C44</f>
        <v>0</v>
      </c>
      <c r="D45" s="494">
        <f>D43-D44</f>
        <v>4.474713932722807E-10</v>
      </c>
      <c r="E45" s="494">
        <f>E43-E44</f>
        <v>22343819.21</v>
      </c>
      <c r="F45" s="494">
        <f>F43-F44</f>
        <v>34000000</v>
      </c>
      <c r="G45" s="494"/>
      <c r="I45" s="494">
        <f t="shared" si="2"/>
        <v>56343819.21</v>
      </c>
      <c r="J45" s="494">
        <f>J43-J44</f>
        <v>0</v>
      </c>
      <c r="K45" s="494">
        <f>K43-K44</f>
        <v>0</v>
      </c>
      <c r="L45" s="494">
        <f>L43-L44</f>
        <v>2252615.21</v>
      </c>
      <c r="M45" s="494">
        <f>M43-M44</f>
        <v>5905496.13</v>
      </c>
      <c r="N45" s="494"/>
      <c r="P45" s="494">
        <f t="shared" si="3"/>
        <v>8158111.34</v>
      </c>
      <c r="Q45" s="551"/>
      <c r="R45" s="551"/>
      <c r="Y45" s="490"/>
    </row>
    <row r="46" spans="1:27" s="290" customFormat="1" ht="22.5" customHeight="1">
      <c r="A46" s="491">
        <v>44</v>
      </c>
      <c r="B46" s="290" t="s">
        <v>180</v>
      </c>
      <c r="C46" s="493"/>
      <c r="D46" s="493"/>
      <c r="E46" s="493">
        <v>2105080.25</v>
      </c>
      <c r="F46" s="493"/>
      <c r="G46" s="493"/>
      <c r="I46" s="493">
        <f t="shared" si="2"/>
        <v>2105080.25</v>
      </c>
      <c r="J46" s="493"/>
      <c r="K46" s="493"/>
      <c r="L46" s="496">
        <v>371484.75</v>
      </c>
      <c r="M46" s="493"/>
      <c r="N46" s="496"/>
      <c r="P46" s="493">
        <f t="shared" si="3"/>
        <v>371484.75</v>
      </c>
      <c r="Q46" s="549">
        <v>321</v>
      </c>
      <c r="R46" s="550">
        <v>38198</v>
      </c>
      <c r="S46" s="429" t="s">
        <v>179</v>
      </c>
      <c r="T46" s="290">
        <v>1791</v>
      </c>
      <c r="U46" s="292">
        <f>DATI!BI4*0.85</f>
        <v>321985.95</v>
      </c>
      <c r="V46" s="393">
        <v>2003</v>
      </c>
      <c r="W46" s="292">
        <f>DATI!BI4*0.15</f>
        <v>56821.049999999996</v>
      </c>
      <c r="X46" s="393">
        <v>2003</v>
      </c>
      <c r="Y46" s="481">
        <f>U46+W46</f>
        <v>378807</v>
      </c>
      <c r="Z46" s="292">
        <f>DATI!BI4*0.35</f>
        <v>132582.44999999998</v>
      </c>
      <c r="AA46" s="292"/>
    </row>
    <row r="47" spans="1:26" s="289" customFormat="1" ht="11.25">
      <c r="A47" s="490"/>
      <c r="B47" s="289" t="s">
        <v>87</v>
      </c>
      <c r="C47" s="494">
        <f>C45-C46</f>
        <v>0</v>
      </c>
      <c r="D47" s="494">
        <f>D45-D46</f>
        <v>4.474713932722807E-10</v>
      </c>
      <c r="E47" s="494">
        <f>E45-E46</f>
        <v>20238738.96</v>
      </c>
      <c r="F47" s="494">
        <f>F45-F46</f>
        <v>34000000</v>
      </c>
      <c r="G47" s="494"/>
      <c r="I47" s="494">
        <f t="shared" si="2"/>
        <v>54238738.96</v>
      </c>
      <c r="J47" s="494">
        <f>J45-J46</f>
        <v>0</v>
      </c>
      <c r="K47" s="494">
        <f>K45-K46</f>
        <v>0</v>
      </c>
      <c r="L47" s="494">
        <f>L45-L46</f>
        <v>1881130.46</v>
      </c>
      <c r="M47" s="494">
        <f>M45-M46</f>
        <v>5905496.13</v>
      </c>
      <c r="N47" s="494"/>
      <c r="P47" s="494">
        <f t="shared" si="3"/>
        <v>7786626.59</v>
      </c>
      <c r="Q47" s="551"/>
      <c r="R47" s="551"/>
      <c r="Y47" s="490"/>
      <c r="Z47" s="394"/>
    </row>
    <row r="48" spans="1:26" s="290" customFormat="1" ht="18" customHeight="1">
      <c r="A48" s="491">
        <v>12</v>
      </c>
      <c r="B48" s="290" t="s">
        <v>181</v>
      </c>
      <c r="C48" s="493"/>
      <c r="D48" s="493"/>
      <c r="E48" s="493">
        <v>129771.2</v>
      </c>
      <c r="F48" s="493"/>
      <c r="G48" s="493"/>
      <c r="I48" s="493">
        <f t="shared" si="2"/>
        <v>129771.2</v>
      </c>
      <c r="J48" s="493"/>
      <c r="K48" s="493"/>
      <c r="L48" s="493">
        <v>22900.8</v>
      </c>
      <c r="M48" s="493"/>
      <c r="N48" s="493"/>
      <c r="P48" s="493">
        <f t="shared" si="3"/>
        <v>22900.8</v>
      </c>
      <c r="Q48" s="549">
        <v>332</v>
      </c>
      <c r="R48" s="550">
        <v>38205</v>
      </c>
      <c r="S48" s="429" t="s">
        <v>175</v>
      </c>
      <c r="T48" s="290">
        <v>1802</v>
      </c>
      <c r="Y48" s="491"/>
      <c r="Z48" s="292"/>
    </row>
    <row r="49" spans="1:25" s="289" customFormat="1" ht="11.25">
      <c r="A49" s="490"/>
      <c r="B49" s="289" t="s">
        <v>87</v>
      </c>
      <c r="C49" s="494">
        <f>C47-C48</f>
        <v>0</v>
      </c>
      <c r="D49" s="494">
        <f>D47-D48</f>
        <v>4.474713932722807E-10</v>
      </c>
      <c r="E49" s="494">
        <f>E47-E48</f>
        <v>20108967.76</v>
      </c>
      <c r="F49" s="494">
        <f>F47-F48</f>
        <v>34000000</v>
      </c>
      <c r="G49" s="494"/>
      <c r="I49" s="494">
        <f t="shared" si="2"/>
        <v>54108967.760000005</v>
      </c>
      <c r="J49" s="494">
        <f>J47-J48</f>
        <v>0</v>
      </c>
      <c r="K49" s="494">
        <f>K47-K48</f>
        <v>0</v>
      </c>
      <c r="L49" s="494">
        <f>L47-L48</f>
        <v>1858229.66</v>
      </c>
      <c r="M49" s="494">
        <f>M47-M48</f>
        <v>5905496.13</v>
      </c>
      <c r="N49" s="494"/>
      <c r="P49" s="494">
        <f t="shared" si="3"/>
        <v>7763725.79</v>
      </c>
      <c r="Q49" s="551"/>
      <c r="R49" s="551"/>
      <c r="Y49" s="490"/>
    </row>
    <row r="50" spans="1:25" s="290" customFormat="1" ht="12" customHeight="1">
      <c r="A50" s="491">
        <v>30</v>
      </c>
      <c r="B50" s="290" t="s">
        <v>107</v>
      </c>
      <c r="E50" s="292">
        <v>1381377.52</v>
      </c>
      <c r="G50" s="292"/>
      <c r="I50" s="493">
        <f t="shared" si="2"/>
        <v>1381377.52</v>
      </c>
      <c r="L50" s="292">
        <v>243772.5</v>
      </c>
      <c r="N50" s="292"/>
      <c r="P50" s="493">
        <f t="shared" si="3"/>
        <v>243772.5</v>
      </c>
      <c r="Q50" s="549">
        <v>330</v>
      </c>
      <c r="R50" s="550">
        <v>38205</v>
      </c>
      <c r="S50" s="290" t="s">
        <v>176</v>
      </c>
      <c r="T50" s="290">
        <v>1803</v>
      </c>
      <c r="Y50" s="491"/>
    </row>
    <row r="51" spans="1:25" s="290" customFormat="1" ht="11.25">
      <c r="A51" s="491"/>
      <c r="B51" s="289" t="s">
        <v>87</v>
      </c>
      <c r="C51" s="494">
        <f>C49-C50</f>
        <v>0</v>
      </c>
      <c r="D51" s="494">
        <f>D49-D50</f>
        <v>4.474713932722807E-10</v>
      </c>
      <c r="E51" s="494">
        <f>E49-E50</f>
        <v>18727590.240000002</v>
      </c>
      <c r="F51" s="494">
        <f>F49-F50</f>
        <v>34000000</v>
      </c>
      <c r="G51" s="494"/>
      <c r="I51" s="494">
        <f t="shared" si="2"/>
        <v>52727590.24</v>
      </c>
      <c r="J51" s="494">
        <f>J49-J50</f>
        <v>0</v>
      </c>
      <c r="K51" s="494">
        <f>K49-K50</f>
        <v>0</v>
      </c>
      <c r="L51" s="494">
        <f>L49-L50</f>
        <v>1614457.16</v>
      </c>
      <c r="M51" s="494">
        <f>M49-M50</f>
        <v>5905496.13</v>
      </c>
      <c r="N51" s="494"/>
      <c r="P51" s="494">
        <f t="shared" si="3"/>
        <v>7519953.29</v>
      </c>
      <c r="Q51" s="549"/>
      <c r="R51" s="549"/>
      <c r="Y51" s="491"/>
    </row>
    <row r="52" spans="1:25" s="290" customFormat="1" ht="18.75" customHeight="1">
      <c r="A52" s="491">
        <v>50</v>
      </c>
      <c r="B52" s="290" t="s">
        <v>717</v>
      </c>
      <c r="E52" s="292">
        <v>2125000</v>
      </c>
      <c r="G52" s="292"/>
      <c r="I52" s="493">
        <f t="shared" si="2"/>
        <v>2125000</v>
      </c>
      <c r="L52" s="292">
        <v>375000</v>
      </c>
      <c r="N52" s="292"/>
      <c r="P52" s="493">
        <f t="shared" si="3"/>
        <v>375000</v>
      </c>
      <c r="Q52" s="549">
        <v>331</v>
      </c>
      <c r="R52" s="550">
        <v>38205</v>
      </c>
      <c r="S52" s="290" t="s">
        <v>178</v>
      </c>
      <c r="T52" s="290">
        <v>1804</v>
      </c>
      <c r="Y52" s="491"/>
    </row>
    <row r="53" spans="1:25" s="290" customFormat="1" ht="11.25">
      <c r="A53" s="491"/>
      <c r="B53" s="289" t="s">
        <v>87</v>
      </c>
      <c r="C53" s="494">
        <f>C51-C52</f>
        <v>0</v>
      </c>
      <c r="D53" s="494">
        <f>D51-D52</f>
        <v>4.474713932722807E-10</v>
      </c>
      <c r="E53" s="494">
        <f>E51-E52</f>
        <v>16602590.240000002</v>
      </c>
      <c r="F53" s="494">
        <f>F51-F52</f>
        <v>34000000</v>
      </c>
      <c r="G53" s="494"/>
      <c r="I53" s="494">
        <f t="shared" si="2"/>
        <v>50602590.24</v>
      </c>
      <c r="J53" s="494">
        <f>J51-J52</f>
        <v>0</v>
      </c>
      <c r="K53" s="494">
        <f>K51-K52</f>
        <v>0</v>
      </c>
      <c r="L53" s="494">
        <f>L51-L52</f>
        <v>1239457.16</v>
      </c>
      <c r="M53" s="494">
        <f>M51-M52</f>
        <v>5905496.13</v>
      </c>
      <c r="N53" s="494"/>
      <c r="P53" s="494">
        <f t="shared" si="3"/>
        <v>7144953.29</v>
      </c>
      <c r="Q53" s="549"/>
      <c r="R53" s="549"/>
      <c r="Y53" s="491"/>
    </row>
    <row r="54" spans="1:26" s="290" customFormat="1" ht="16.5" customHeight="1">
      <c r="A54" s="491">
        <v>47</v>
      </c>
      <c r="B54" s="290" t="s">
        <v>757</v>
      </c>
      <c r="E54" s="292">
        <v>165533.25</v>
      </c>
      <c r="G54" s="292"/>
      <c r="I54" s="493">
        <f t="shared" si="2"/>
        <v>165533.25</v>
      </c>
      <c r="L54" s="292">
        <v>29211.75</v>
      </c>
      <c r="N54" s="292"/>
      <c r="P54" s="493">
        <f t="shared" si="3"/>
        <v>29211.75</v>
      </c>
      <c r="Q54" s="549">
        <v>333</v>
      </c>
      <c r="R54" s="550">
        <v>38205</v>
      </c>
      <c r="S54" s="290" t="s">
        <v>256</v>
      </c>
      <c r="T54" s="290">
        <v>1805</v>
      </c>
      <c r="U54" s="292">
        <f>DATI!BI25*0.85</f>
        <v>49659.975</v>
      </c>
      <c r="V54" s="393">
        <v>2003</v>
      </c>
      <c r="W54" s="292">
        <f>DATI!BI25*0.15</f>
        <v>8763.525</v>
      </c>
      <c r="X54" s="393">
        <v>2003</v>
      </c>
      <c r="Y54" s="481">
        <f>U54+W54</f>
        <v>58423.5</v>
      </c>
      <c r="Z54" s="292">
        <f>DATI!BI11*0.35</f>
        <v>154332.29175</v>
      </c>
    </row>
    <row r="55" spans="1:25" s="290" customFormat="1" ht="11.25">
      <c r="A55" s="491"/>
      <c r="B55" s="289" t="s">
        <v>87</v>
      </c>
      <c r="C55" s="494">
        <f>C53-C54</f>
        <v>0</v>
      </c>
      <c r="D55" s="494">
        <f>D53-D54</f>
        <v>4.474713932722807E-10</v>
      </c>
      <c r="E55" s="494">
        <f>E53-E54</f>
        <v>16437056.990000002</v>
      </c>
      <c r="F55" s="494">
        <f>F53-F54</f>
        <v>34000000</v>
      </c>
      <c r="G55" s="494"/>
      <c r="I55" s="494">
        <f t="shared" si="2"/>
        <v>50437056.99</v>
      </c>
      <c r="J55" s="494">
        <f>J53-J54</f>
        <v>0</v>
      </c>
      <c r="K55" s="494">
        <f>K53-K54</f>
        <v>0</v>
      </c>
      <c r="L55" s="494">
        <f>L53-L54</f>
        <v>1210245.41</v>
      </c>
      <c r="M55" s="494">
        <f>M53-M54</f>
        <v>5905496.13</v>
      </c>
      <c r="N55" s="494"/>
      <c r="P55" s="494">
        <f t="shared" si="3"/>
        <v>7115741.54</v>
      </c>
      <c r="Q55" s="549"/>
      <c r="R55" s="549"/>
      <c r="Y55" s="491"/>
    </row>
    <row r="56" spans="1:25" s="290" customFormat="1" ht="33.75">
      <c r="A56" s="491"/>
      <c r="B56" s="290" t="s">
        <v>450</v>
      </c>
      <c r="E56" s="292">
        <v>346950.11</v>
      </c>
      <c r="G56" s="292"/>
      <c r="I56" s="493">
        <v>346950.11</v>
      </c>
      <c r="L56" s="292">
        <v>61226.49</v>
      </c>
      <c r="N56" s="292"/>
      <c r="P56" s="493">
        <f t="shared" si="3"/>
        <v>61226.49</v>
      </c>
      <c r="Q56" s="549">
        <v>337</v>
      </c>
      <c r="R56" s="550">
        <v>38265</v>
      </c>
      <c r="S56" s="290" t="s">
        <v>254</v>
      </c>
      <c r="T56" s="290">
        <v>1958</v>
      </c>
      <c r="Y56" s="491"/>
    </row>
    <row r="57" spans="1:25" s="290" customFormat="1" ht="11.25">
      <c r="A57" s="491"/>
      <c r="B57" s="289" t="s">
        <v>87</v>
      </c>
      <c r="C57" s="494">
        <f>C55-C56</f>
        <v>0</v>
      </c>
      <c r="D57" s="494">
        <f>D55-D56</f>
        <v>4.474713932722807E-10</v>
      </c>
      <c r="E57" s="494">
        <f>E55-E56</f>
        <v>16090106.880000003</v>
      </c>
      <c r="F57" s="494">
        <f>F55-F56</f>
        <v>34000000</v>
      </c>
      <c r="G57" s="494"/>
      <c r="I57" s="494">
        <f aca="true" t="shared" si="4" ref="I57:I87">SUM(C57:G57)</f>
        <v>50090106.88</v>
      </c>
      <c r="J57" s="494">
        <f>J55-J56</f>
        <v>0</v>
      </c>
      <c r="K57" s="494">
        <f>K55-K56</f>
        <v>0</v>
      </c>
      <c r="L57" s="494">
        <f>L55-L56</f>
        <v>1149018.92</v>
      </c>
      <c r="M57" s="494">
        <f>M55-M56</f>
        <v>5905496.13</v>
      </c>
      <c r="N57" s="494"/>
      <c r="P57" s="494">
        <f t="shared" si="3"/>
        <v>7054515.05</v>
      </c>
      <c r="Q57" s="549"/>
      <c r="R57" s="549"/>
      <c r="Y57" s="491"/>
    </row>
    <row r="58" spans="1:25" s="511" customFormat="1" ht="17.25" customHeight="1">
      <c r="A58" s="510">
        <v>10</v>
      </c>
      <c r="B58" s="511" t="s">
        <v>292</v>
      </c>
      <c r="C58" s="513"/>
      <c r="D58" s="513"/>
      <c r="E58" s="513">
        <v>1312400</v>
      </c>
      <c r="F58" s="513"/>
      <c r="G58" s="513"/>
      <c r="I58" s="493">
        <f t="shared" si="4"/>
        <v>1312400</v>
      </c>
      <c r="J58" s="513"/>
      <c r="K58" s="513"/>
      <c r="L58" s="513">
        <v>231600</v>
      </c>
      <c r="M58" s="513"/>
      <c r="N58" s="513"/>
      <c r="P58" s="493">
        <f t="shared" si="3"/>
        <v>231600</v>
      </c>
      <c r="Q58" s="552">
        <v>473</v>
      </c>
      <c r="R58" s="553">
        <v>38286</v>
      </c>
      <c r="S58" s="511" t="s">
        <v>293</v>
      </c>
      <c r="T58" s="511">
        <v>1977</v>
      </c>
      <c r="Y58" s="510"/>
    </row>
    <row r="59" spans="1:25" s="289" customFormat="1" ht="11.25">
      <c r="A59" s="490"/>
      <c r="B59" s="289" t="s">
        <v>87</v>
      </c>
      <c r="C59" s="494">
        <f>C57-C58</f>
        <v>0</v>
      </c>
      <c r="D59" s="494">
        <f>D57-D58</f>
        <v>4.474713932722807E-10</v>
      </c>
      <c r="E59" s="494">
        <f>E57-E58</f>
        <v>14777706.880000003</v>
      </c>
      <c r="F59" s="494">
        <f>F57-F58</f>
        <v>34000000</v>
      </c>
      <c r="G59" s="494"/>
      <c r="I59" s="494">
        <f t="shared" si="4"/>
        <v>48777706.88</v>
      </c>
      <c r="J59" s="494">
        <f>J57-J58</f>
        <v>0</v>
      </c>
      <c r="K59" s="494">
        <f>K57-K58</f>
        <v>0</v>
      </c>
      <c r="L59" s="494">
        <f>L57-L58</f>
        <v>917418.9199999999</v>
      </c>
      <c r="M59" s="494">
        <f>M57-M58</f>
        <v>5905496.13</v>
      </c>
      <c r="N59" s="494"/>
      <c r="P59" s="494">
        <f t="shared" si="3"/>
        <v>6822915.05</v>
      </c>
      <c r="Q59" s="549"/>
      <c r="R59" s="549"/>
      <c r="S59" s="290"/>
      <c r="T59" s="290"/>
      <c r="Y59" s="490"/>
    </row>
    <row r="60" spans="1:25" s="511" customFormat="1" ht="20.25" customHeight="1">
      <c r="A60" s="510">
        <v>5</v>
      </c>
      <c r="B60" s="511" t="s">
        <v>1131</v>
      </c>
      <c r="C60" s="513"/>
      <c r="D60" s="513"/>
      <c r="E60" s="513">
        <v>1566373.2</v>
      </c>
      <c r="F60" s="513"/>
      <c r="G60" s="513"/>
      <c r="I60" s="493">
        <f t="shared" si="4"/>
        <v>1566373.2</v>
      </c>
      <c r="J60" s="513"/>
      <c r="K60" s="513"/>
      <c r="L60" s="513">
        <v>276418.8</v>
      </c>
      <c r="M60" s="513"/>
      <c r="N60" s="513"/>
      <c r="P60" s="493">
        <f t="shared" si="3"/>
        <v>276418.8</v>
      </c>
      <c r="Q60" s="552">
        <v>558</v>
      </c>
      <c r="R60" s="553">
        <v>38307</v>
      </c>
      <c r="S60" s="511" t="s">
        <v>1132</v>
      </c>
      <c r="T60" s="511">
        <v>2156</v>
      </c>
      <c r="Y60" s="510"/>
    </row>
    <row r="61" spans="1:25" s="289" customFormat="1" ht="11.25">
      <c r="A61" s="490"/>
      <c r="B61" s="289" t="s">
        <v>87</v>
      </c>
      <c r="C61" s="494">
        <f>C59-C60</f>
        <v>0</v>
      </c>
      <c r="D61" s="494">
        <f>D59-D60</f>
        <v>4.474713932722807E-10</v>
      </c>
      <c r="E61" s="494">
        <f>E59-E60</f>
        <v>13211333.680000003</v>
      </c>
      <c r="F61" s="494">
        <f>F59-F60</f>
        <v>34000000</v>
      </c>
      <c r="G61" s="494"/>
      <c r="I61" s="494">
        <f t="shared" si="4"/>
        <v>47211333.68000001</v>
      </c>
      <c r="J61" s="494">
        <f>J59-J60</f>
        <v>0</v>
      </c>
      <c r="K61" s="494">
        <f>K59-K60</f>
        <v>0</v>
      </c>
      <c r="L61" s="494">
        <f>L59-L60</f>
        <v>641000.1199999999</v>
      </c>
      <c r="M61" s="494">
        <f>M59-M60</f>
        <v>5905496.13</v>
      </c>
      <c r="N61" s="494"/>
      <c r="P61" s="494">
        <f t="shared" si="3"/>
        <v>6546496.25</v>
      </c>
      <c r="Q61" s="551"/>
      <c r="R61" s="551"/>
      <c r="Y61" s="490"/>
    </row>
    <row r="62" spans="1:25" s="511" customFormat="1" ht="20.25" customHeight="1">
      <c r="A62" s="510">
        <v>9</v>
      </c>
      <c r="B62" s="511" t="s">
        <v>762</v>
      </c>
      <c r="C62" s="513"/>
      <c r="D62" s="513"/>
      <c r="E62" s="513">
        <v>993862.16</v>
      </c>
      <c r="F62" s="513"/>
      <c r="G62" s="513"/>
      <c r="I62" s="513">
        <f t="shared" si="4"/>
        <v>993862.16</v>
      </c>
      <c r="J62" s="513"/>
      <c r="K62" s="513"/>
      <c r="L62" s="513">
        <v>175387.44</v>
      </c>
      <c r="M62" s="513"/>
      <c r="N62" s="513"/>
      <c r="P62" s="513">
        <f t="shared" si="3"/>
        <v>175387.44</v>
      </c>
      <c r="Q62" s="547">
        <v>18</v>
      </c>
      <c r="R62" s="548">
        <v>38376</v>
      </c>
      <c r="S62" s="556" t="s">
        <v>449</v>
      </c>
      <c r="Y62" s="510"/>
    </row>
    <row r="63" spans="1:25" s="290" customFormat="1" ht="11.25">
      <c r="A63" s="491"/>
      <c r="B63" s="289" t="s">
        <v>87</v>
      </c>
      <c r="C63" s="494">
        <f>C61-C62</f>
        <v>0</v>
      </c>
      <c r="D63" s="494">
        <f>D61-D62</f>
        <v>4.474713932722807E-10</v>
      </c>
      <c r="E63" s="494">
        <f>E61-E62</f>
        <v>12217471.520000003</v>
      </c>
      <c r="F63" s="494">
        <f>F61-F62</f>
        <v>34000000</v>
      </c>
      <c r="G63" s="494"/>
      <c r="I63" s="494">
        <f t="shared" si="4"/>
        <v>46217471.52</v>
      </c>
      <c r="J63" s="494">
        <f>J61-J62</f>
        <v>0</v>
      </c>
      <c r="K63" s="494">
        <f>K61-K62</f>
        <v>0</v>
      </c>
      <c r="L63" s="494">
        <f>L61-L62</f>
        <v>465612.6799999999</v>
      </c>
      <c r="M63" s="494">
        <f>M61-M62</f>
        <v>5905496.13</v>
      </c>
      <c r="N63" s="494"/>
      <c r="P63" s="494">
        <f t="shared" si="3"/>
        <v>6371108.81</v>
      </c>
      <c r="Q63" s="549"/>
      <c r="R63" s="549"/>
      <c r="Y63" s="491"/>
    </row>
    <row r="64" spans="1:25" s="511" customFormat="1" ht="20.25" customHeight="1">
      <c r="A64" s="510">
        <v>3</v>
      </c>
      <c r="B64" s="511" t="s">
        <v>763</v>
      </c>
      <c r="C64" s="513"/>
      <c r="D64" s="513"/>
      <c r="E64" s="513">
        <v>1267574.4</v>
      </c>
      <c r="F64" s="513"/>
      <c r="G64" s="513"/>
      <c r="I64" s="513">
        <f t="shared" si="4"/>
        <v>1267574.4</v>
      </c>
      <c r="J64" s="513"/>
      <c r="K64" s="513"/>
      <c r="L64" s="513">
        <v>223689.6</v>
      </c>
      <c r="M64" s="513"/>
      <c r="N64" s="513"/>
      <c r="P64" s="513">
        <f t="shared" si="3"/>
        <v>223689.6</v>
      </c>
      <c r="Q64" s="552">
        <v>20</v>
      </c>
      <c r="R64" s="553">
        <v>38376</v>
      </c>
      <c r="S64" s="511" t="s">
        <v>1175</v>
      </c>
      <c r="T64" s="511">
        <v>2273</v>
      </c>
      <c r="Y64" s="510"/>
    </row>
    <row r="65" spans="1:25" s="290" customFormat="1" ht="11.25">
      <c r="A65" s="491"/>
      <c r="B65" s="289" t="s">
        <v>87</v>
      </c>
      <c r="C65" s="494">
        <f>C63-C64</f>
        <v>0</v>
      </c>
      <c r="D65" s="494">
        <f>D63-D64</f>
        <v>4.474713932722807E-10</v>
      </c>
      <c r="E65" s="494">
        <f>E63-E64</f>
        <v>10949897.120000003</v>
      </c>
      <c r="F65" s="494">
        <f>F63-F64</f>
        <v>34000000</v>
      </c>
      <c r="G65" s="494"/>
      <c r="I65" s="494">
        <f t="shared" si="4"/>
        <v>44949897.120000005</v>
      </c>
      <c r="J65" s="494">
        <f>J63-J64</f>
        <v>0</v>
      </c>
      <c r="K65" s="494">
        <f>K63-K64</f>
        <v>0</v>
      </c>
      <c r="L65" s="494">
        <v>160340.57</v>
      </c>
      <c r="M65" s="494">
        <f>M63-M64</f>
        <v>5905496.13</v>
      </c>
      <c r="N65" s="494"/>
      <c r="P65" s="494">
        <f t="shared" si="3"/>
        <v>6065836.7</v>
      </c>
      <c r="Q65" s="549"/>
      <c r="R65" s="549"/>
      <c r="Y65" s="491"/>
    </row>
    <row r="66" spans="1:25" s="511" customFormat="1" ht="20.25" customHeight="1">
      <c r="A66" s="510">
        <v>2</v>
      </c>
      <c r="B66" s="511" t="s">
        <v>1173</v>
      </c>
      <c r="C66" s="513"/>
      <c r="D66" s="513"/>
      <c r="E66" s="513">
        <v>1602611.08</v>
      </c>
      <c r="F66" s="513"/>
      <c r="G66" s="513"/>
      <c r="I66" s="513">
        <f t="shared" si="4"/>
        <v>1602611.08</v>
      </c>
      <c r="J66" s="513"/>
      <c r="K66" s="513"/>
      <c r="L66" s="513">
        <v>0</v>
      </c>
      <c r="M66" s="513">
        <v>282813.72</v>
      </c>
      <c r="N66" s="513"/>
      <c r="P66" s="513">
        <f t="shared" si="3"/>
        <v>282813.72</v>
      </c>
      <c r="Q66" s="552">
        <v>22</v>
      </c>
      <c r="R66" s="553">
        <v>38376</v>
      </c>
      <c r="S66" s="511" t="s">
        <v>1174</v>
      </c>
      <c r="T66" s="511">
        <v>2274</v>
      </c>
      <c r="Y66" s="510"/>
    </row>
    <row r="67" spans="1:25" s="290" customFormat="1" ht="11.25">
      <c r="A67" s="491"/>
      <c r="B67" s="289" t="s">
        <v>87</v>
      </c>
      <c r="C67" s="494">
        <f>C65-C66</f>
        <v>0</v>
      </c>
      <c r="D67" s="494">
        <f>D65-D66</f>
        <v>4.474713932722807E-10</v>
      </c>
      <c r="E67" s="494">
        <f>E65-E66</f>
        <v>9347286.040000003</v>
      </c>
      <c r="F67" s="494">
        <f>F65-F66</f>
        <v>34000000</v>
      </c>
      <c r="G67" s="494"/>
      <c r="I67" s="494">
        <f t="shared" si="4"/>
        <v>43347286.04000001</v>
      </c>
      <c r="J67" s="494">
        <f>J65-J66</f>
        <v>0</v>
      </c>
      <c r="K67" s="494">
        <f>K65-K66</f>
        <v>0</v>
      </c>
      <c r="L67" s="494">
        <f>L65-L66</f>
        <v>160340.57</v>
      </c>
      <c r="M67" s="494">
        <f>M65-M66</f>
        <v>5622682.41</v>
      </c>
      <c r="N67" s="494"/>
      <c r="P67" s="494">
        <f t="shared" si="3"/>
        <v>5783022.98</v>
      </c>
      <c r="Q67" s="549"/>
      <c r="R67" s="549"/>
      <c r="Y67" s="491"/>
    </row>
    <row r="68" spans="1:25" s="511" customFormat="1" ht="20.25" customHeight="1">
      <c r="A68" s="510">
        <v>4</v>
      </c>
      <c r="B68" s="511" t="s">
        <v>297</v>
      </c>
      <c r="C68" s="513"/>
      <c r="D68" s="513"/>
      <c r="E68" s="513">
        <v>1464720</v>
      </c>
      <c r="F68" s="513"/>
      <c r="G68" s="513"/>
      <c r="I68" s="513">
        <f t="shared" si="4"/>
        <v>1464720</v>
      </c>
      <c r="J68" s="513"/>
      <c r="K68" s="513"/>
      <c r="L68" s="513">
        <v>0</v>
      </c>
      <c r="M68" s="513">
        <v>258480</v>
      </c>
      <c r="N68" s="513"/>
      <c r="P68" s="513">
        <f t="shared" si="3"/>
        <v>258480</v>
      </c>
      <c r="Q68" s="547">
        <v>113</v>
      </c>
      <c r="R68" s="548">
        <v>38404</v>
      </c>
      <c r="S68" s="556" t="s">
        <v>448</v>
      </c>
      <c r="Y68" s="510"/>
    </row>
    <row r="69" spans="1:25" s="290" customFormat="1" ht="11.25">
      <c r="A69" s="491"/>
      <c r="B69" s="289" t="s">
        <v>87</v>
      </c>
      <c r="C69" s="494">
        <f>C67-C68</f>
        <v>0</v>
      </c>
      <c r="D69" s="494">
        <f>D67-D68</f>
        <v>4.474713932722807E-10</v>
      </c>
      <c r="E69" s="494">
        <f>E67-E68</f>
        <v>7882566.040000003</v>
      </c>
      <c r="F69" s="494">
        <f>F67-F68</f>
        <v>34000000</v>
      </c>
      <c r="G69" s="494"/>
      <c r="I69" s="494">
        <f t="shared" si="4"/>
        <v>41882566.04000001</v>
      </c>
      <c r="J69" s="494">
        <f>J67-J68</f>
        <v>0</v>
      </c>
      <c r="K69" s="494">
        <f>K67-K68</f>
        <v>0</v>
      </c>
      <c r="L69" s="494">
        <f>L67-L68</f>
        <v>160340.57</v>
      </c>
      <c r="M69" s="494">
        <f>M67-M68</f>
        <v>5364202.41</v>
      </c>
      <c r="N69" s="494"/>
      <c r="P69" s="494">
        <f t="shared" si="3"/>
        <v>5524542.98</v>
      </c>
      <c r="Q69" s="549"/>
      <c r="R69" s="549"/>
      <c r="Y69" s="491"/>
    </row>
    <row r="70" spans="1:25" s="511" customFormat="1" ht="20.25" customHeight="1">
      <c r="A70" s="510"/>
      <c r="B70" s="511" t="s">
        <v>1201</v>
      </c>
      <c r="C70" s="513"/>
      <c r="D70" s="513"/>
      <c r="E70" s="513">
        <v>433989.6</v>
      </c>
      <c r="F70" s="513"/>
      <c r="G70" s="513"/>
      <c r="I70" s="513">
        <f t="shared" si="4"/>
        <v>433989.6</v>
      </c>
      <c r="J70" s="513"/>
      <c r="K70" s="513"/>
      <c r="L70" s="513">
        <v>0</v>
      </c>
      <c r="M70" s="513">
        <v>76586.4</v>
      </c>
      <c r="N70" s="513"/>
      <c r="P70" s="513">
        <f aca="true" t="shared" si="5" ref="P70:P87">SUM(J70:N70)</f>
        <v>76586.4</v>
      </c>
      <c r="Q70" s="552"/>
      <c r="R70" s="553" t="s">
        <v>451</v>
      </c>
      <c r="Y70" s="510"/>
    </row>
    <row r="71" spans="1:25" s="290" customFormat="1" ht="11.25">
      <c r="A71" s="491"/>
      <c r="B71" s="289" t="s">
        <v>87</v>
      </c>
      <c r="C71" s="494">
        <f>C69-C70</f>
        <v>0</v>
      </c>
      <c r="D71" s="494">
        <f>D69-D70</f>
        <v>4.474713932722807E-10</v>
      </c>
      <c r="E71" s="494">
        <f>E69-E70</f>
        <v>7448576.440000003</v>
      </c>
      <c r="F71" s="494">
        <f>F69-F70</f>
        <v>34000000</v>
      </c>
      <c r="G71" s="494"/>
      <c r="I71" s="494">
        <f t="shared" si="4"/>
        <v>41448576.440000005</v>
      </c>
      <c r="J71" s="494">
        <f>J69-J70</f>
        <v>0</v>
      </c>
      <c r="K71" s="494">
        <f>K69-K70</f>
        <v>0</v>
      </c>
      <c r="L71" s="494">
        <f>L69-L70</f>
        <v>160340.57</v>
      </c>
      <c r="M71" s="494">
        <f>M69-M70</f>
        <v>5287616.01</v>
      </c>
      <c r="N71" s="494"/>
      <c r="P71" s="494">
        <f t="shared" si="5"/>
        <v>5447956.58</v>
      </c>
      <c r="Q71" s="549"/>
      <c r="R71" s="549"/>
      <c r="Y71" s="491"/>
    </row>
    <row r="72" spans="1:25" s="511" customFormat="1" ht="20.25" customHeight="1">
      <c r="A72" s="510">
        <v>16</v>
      </c>
      <c r="B72" s="511" t="s">
        <v>1202</v>
      </c>
      <c r="C72" s="513"/>
      <c r="D72" s="513"/>
      <c r="E72" s="513">
        <v>1700000</v>
      </c>
      <c r="F72" s="513"/>
      <c r="G72" s="513"/>
      <c r="I72" s="513">
        <f t="shared" si="4"/>
        <v>1700000</v>
      </c>
      <c r="J72" s="513"/>
      <c r="K72" s="513"/>
      <c r="L72" s="513">
        <v>160340.57</v>
      </c>
      <c r="M72" s="513">
        <f>300000-L72</f>
        <v>139659.43</v>
      </c>
      <c r="N72" s="513"/>
      <c r="P72" s="513">
        <f t="shared" si="5"/>
        <v>300000</v>
      </c>
      <c r="Q72" s="547">
        <v>215</v>
      </c>
      <c r="R72" s="548">
        <v>38421</v>
      </c>
      <c r="S72" s="556" t="s">
        <v>452</v>
      </c>
      <c r="Y72" s="510"/>
    </row>
    <row r="73" spans="1:25" s="290" customFormat="1" ht="11.25">
      <c r="A73" s="491"/>
      <c r="B73" s="289" t="s">
        <v>87</v>
      </c>
      <c r="C73" s="494">
        <f>C71-C72</f>
        <v>0</v>
      </c>
      <c r="D73" s="494">
        <f>D71-D72</f>
        <v>4.474713932722807E-10</v>
      </c>
      <c r="E73" s="494">
        <f>E71-E72</f>
        <v>5748576.440000003</v>
      </c>
      <c r="F73" s="494">
        <f>F71-F72</f>
        <v>34000000</v>
      </c>
      <c r="G73" s="494"/>
      <c r="I73" s="494">
        <f t="shared" si="4"/>
        <v>39748576.440000005</v>
      </c>
      <c r="J73" s="494">
        <f>J71-J72</f>
        <v>0</v>
      </c>
      <c r="K73" s="494">
        <f>K71-K72</f>
        <v>0</v>
      </c>
      <c r="L73" s="494">
        <f>L71-L72</f>
        <v>0</v>
      </c>
      <c r="M73" s="494">
        <f>M71-M72</f>
        <v>5147956.58</v>
      </c>
      <c r="N73" s="494"/>
      <c r="P73" s="494">
        <f t="shared" si="5"/>
        <v>5147956.58</v>
      </c>
      <c r="Q73" s="549"/>
      <c r="R73" s="549"/>
      <c r="Y73" s="491"/>
    </row>
    <row r="74" spans="1:25" s="516" customFormat="1" ht="20.25" customHeight="1">
      <c r="A74" s="515">
        <v>13</v>
      </c>
      <c r="B74" s="516" t="s">
        <v>367</v>
      </c>
      <c r="C74" s="517"/>
      <c r="D74" s="517"/>
      <c r="E74" s="538">
        <v>1344931.2</v>
      </c>
      <c r="F74" s="513"/>
      <c r="G74" s="538"/>
      <c r="I74" s="513">
        <f t="shared" si="4"/>
        <v>1344931.2</v>
      </c>
      <c r="J74" s="517"/>
      <c r="K74" s="517"/>
      <c r="L74" s="517"/>
      <c r="M74" s="518">
        <v>237340.8</v>
      </c>
      <c r="N74" s="517"/>
      <c r="P74" s="513">
        <f t="shared" si="5"/>
        <v>237340.8</v>
      </c>
      <c r="Q74" s="557">
        <v>237</v>
      </c>
      <c r="R74" s="558">
        <v>38421</v>
      </c>
      <c r="S74" s="561" t="s">
        <v>453</v>
      </c>
      <c r="Y74" s="515"/>
    </row>
    <row r="75" spans="1:25" s="290" customFormat="1" ht="11.25">
      <c r="A75" s="491"/>
      <c r="B75" s="289" t="s">
        <v>87</v>
      </c>
      <c r="C75" s="494">
        <f>C73-C74</f>
        <v>0</v>
      </c>
      <c r="D75" s="494">
        <f>D73-D74</f>
        <v>4.474713932722807E-10</v>
      </c>
      <c r="E75" s="494">
        <f>E73-E74</f>
        <v>4403645.240000003</v>
      </c>
      <c r="F75" s="494">
        <f>F73-F74</f>
        <v>34000000</v>
      </c>
      <c r="G75" s="494"/>
      <c r="I75" s="494">
        <f t="shared" si="4"/>
        <v>38403645.24</v>
      </c>
      <c r="J75" s="494">
        <f>J73-J74</f>
        <v>0</v>
      </c>
      <c r="K75" s="494">
        <f>K73-K74</f>
        <v>0</v>
      </c>
      <c r="L75" s="494">
        <f>L73-L74</f>
        <v>0</v>
      </c>
      <c r="M75" s="494">
        <f>M73-M74</f>
        <v>4910615.78</v>
      </c>
      <c r="N75" s="494"/>
      <c r="P75" s="494">
        <f t="shared" si="5"/>
        <v>4910615.78</v>
      </c>
      <c r="Q75" s="549"/>
      <c r="R75" s="549"/>
      <c r="Y75" s="491"/>
    </row>
    <row r="76" spans="1:25" s="516" customFormat="1" ht="20.25" customHeight="1">
      <c r="A76" s="515">
        <v>11</v>
      </c>
      <c r="B76" s="516" t="s">
        <v>53</v>
      </c>
      <c r="C76" s="517"/>
      <c r="D76" s="517"/>
      <c r="E76" s="538">
        <v>869040</v>
      </c>
      <c r="F76" s="513"/>
      <c r="G76" s="538"/>
      <c r="I76" s="513">
        <f t="shared" si="4"/>
        <v>869040</v>
      </c>
      <c r="J76" s="517"/>
      <c r="K76" s="517"/>
      <c r="L76" s="517"/>
      <c r="M76" s="538">
        <v>153360</v>
      </c>
      <c r="N76" s="517"/>
      <c r="P76" s="513">
        <f t="shared" si="5"/>
        <v>153360</v>
      </c>
      <c r="Q76" s="557">
        <v>302</v>
      </c>
      <c r="R76" s="558">
        <v>38433</v>
      </c>
      <c r="S76" s="561" t="s">
        <v>454</v>
      </c>
      <c r="Y76" s="515"/>
    </row>
    <row r="77" spans="1:25" s="290" customFormat="1" ht="11.25">
      <c r="A77" s="491"/>
      <c r="B77" s="289" t="s">
        <v>87</v>
      </c>
      <c r="C77" s="494">
        <f>C75-C76</f>
        <v>0</v>
      </c>
      <c r="D77" s="494">
        <f>D75-D76</f>
        <v>4.474713932722807E-10</v>
      </c>
      <c r="E77" s="494">
        <f>E75-E76</f>
        <v>3534605.240000003</v>
      </c>
      <c r="F77" s="494">
        <f>F75-F76</f>
        <v>34000000</v>
      </c>
      <c r="G77" s="494"/>
      <c r="I77" s="494">
        <f t="shared" si="4"/>
        <v>37534605.24</v>
      </c>
      <c r="J77" s="494">
        <f>J75-J76</f>
        <v>0</v>
      </c>
      <c r="K77" s="494">
        <f>K75-K76</f>
        <v>0</v>
      </c>
      <c r="L77" s="494">
        <f>L75-L76</f>
        <v>0</v>
      </c>
      <c r="M77" s="494">
        <f>M75-M76</f>
        <v>4757255.78</v>
      </c>
      <c r="N77" s="494"/>
      <c r="P77" s="494">
        <f t="shared" si="5"/>
        <v>4757255.78</v>
      </c>
      <c r="Q77" s="549"/>
      <c r="R77" s="549"/>
      <c r="Y77" s="491"/>
    </row>
    <row r="78" spans="1:25" s="516" customFormat="1" ht="20.25" customHeight="1">
      <c r="A78" s="515">
        <v>7</v>
      </c>
      <c r="B78" s="516" t="s">
        <v>396</v>
      </c>
      <c r="C78" s="517"/>
      <c r="D78" s="517"/>
      <c r="E78" s="538">
        <v>1700000</v>
      </c>
      <c r="F78" s="513"/>
      <c r="G78" s="538"/>
      <c r="I78" s="513">
        <f t="shared" si="4"/>
        <v>1700000</v>
      </c>
      <c r="J78" s="517"/>
      <c r="K78" s="517"/>
      <c r="L78" s="517"/>
      <c r="M78" s="538">
        <v>300000</v>
      </c>
      <c r="N78" s="517"/>
      <c r="P78" s="513">
        <f t="shared" si="5"/>
        <v>300000</v>
      </c>
      <c r="Q78" s="554">
        <v>358</v>
      </c>
      <c r="R78" s="553">
        <v>38442</v>
      </c>
      <c r="S78" s="561" t="s">
        <v>455</v>
      </c>
      <c r="Y78" s="515"/>
    </row>
    <row r="79" spans="1:25" s="290" customFormat="1" ht="11.25">
      <c r="A79" s="491"/>
      <c r="B79" s="289" t="s">
        <v>87</v>
      </c>
      <c r="C79" s="494">
        <f>C77-C78</f>
        <v>0</v>
      </c>
      <c r="D79" s="494">
        <f>D77-D78</f>
        <v>4.474713932722807E-10</v>
      </c>
      <c r="E79" s="494">
        <f>E77-E78</f>
        <v>1834605.240000003</v>
      </c>
      <c r="F79" s="494">
        <f>F77-F78</f>
        <v>34000000</v>
      </c>
      <c r="G79" s="494"/>
      <c r="I79" s="494">
        <f t="shared" si="4"/>
        <v>35834605.24</v>
      </c>
      <c r="J79" s="494">
        <f>J77-J78</f>
        <v>0</v>
      </c>
      <c r="K79" s="494">
        <f>K77-K78</f>
        <v>0</v>
      </c>
      <c r="L79" s="494">
        <f>L77-L78</f>
        <v>0</v>
      </c>
      <c r="M79" s="494">
        <f>M77-M78</f>
        <v>4457255.78</v>
      </c>
      <c r="N79" s="494"/>
      <c r="P79" s="494">
        <f t="shared" si="5"/>
        <v>4457255.78</v>
      </c>
      <c r="Q79" s="549"/>
      <c r="R79" s="549"/>
      <c r="Y79" s="491"/>
    </row>
    <row r="80" spans="1:25" s="516" customFormat="1" ht="20.25" customHeight="1">
      <c r="A80" s="515">
        <v>15</v>
      </c>
      <c r="B80" s="516" t="s">
        <v>1222</v>
      </c>
      <c r="C80" s="517"/>
      <c r="D80" s="517"/>
      <c r="E80" s="538"/>
      <c r="F80" s="513">
        <v>1307402</v>
      </c>
      <c r="G80" s="538"/>
      <c r="I80" s="513">
        <f t="shared" si="4"/>
        <v>1307402</v>
      </c>
      <c r="J80" s="517"/>
      <c r="K80" s="517"/>
      <c r="L80" s="517"/>
      <c r="M80" s="538">
        <v>230718</v>
      </c>
      <c r="N80" s="517"/>
      <c r="P80" s="513">
        <f t="shared" si="5"/>
        <v>230718</v>
      </c>
      <c r="Q80" s="554"/>
      <c r="R80" s="553"/>
      <c r="S80" s="561"/>
      <c r="Y80" s="515"/>
    </row>
    <row r="81" spans="1:25" s="290" customFormat="1" ht="11.25">
      <c r="A81" s="491"/>
      <c r="B81" s="289" t="s">
        <v>87</v>
      </c>
      <c r="C81" s="494">
        <f>C79-C80</f>
        <v>0</v>
      </c>
      <c r="D81" s="494">
        <f>D79-D80</f>
        <v>4.474713932722807E-10</v>
      </c>
      <c r="E81" s="494">
        <f>E79-E80</f>
        <v>1834605.240000003</v>
      </c>
      <c r="F81" s="494">
        <f>F79-F80</f>
        <v>32692598</v>
      </c>
      <c r="G81" s="494"/>
      <c r="I81" s="494">
        <f t="shared" si="4"/>
        <v>34527203.24</v>
      </c>
      <c r="J81" s="494">
        <f>J79-J80</f>
        <v>0</v>
      </c>
      <c r="K81" s="494">
        <f>K79-K80</f>
        <v>0</v>
      </c>
      <c r="L81" s="494">
        <f>L79-L80</f>
        <v>0</v>
      </c>
      <c r="M81" s="494">
        <f>M79-M80</f>
        <v>4226537.78</v>
      </c>
      <c r="N81" s="494"/>
      <c r="P81" s="494">
        <f t="shared" si="5"/>
        <v>4226537.78</v>
      </c>
      <c r="Q81" s="549"/>
      <c r="R81" s="549"/>
      <c r="Y81" s="491"/>
    </row>
    <row r="82" spans="1:25" s="516" customFormat="1" ht="20.25" customHeight="1">
      <c r="A82" s="515"/>
      <c r="B82" s="516" t="s">
        <v>1223</v>
      </c>
      <c r="C82" s="517"/>
      <c r="D82" s="517"/>
      <c r="E82" s="538"/>
      <c r="F82" s="513">
        <v>363413.76</v>
      </c>
      <c r="G82" s="538"/>
      <c r="I82" s="513">
        <f t="shared" si="4"/>
        <v>363413.76</v>
      </c>
      <c r="J82" s="517"/>
      <c r="K82" s="517"/>
      <c r="L82" s="517"/>
      <c r="M82" s="538">
        <v>64131.84</v>
      </c>
      <c r="N82" s="517"/>
      <c r="P82" s="513">
        <f t="shared" si="5"/>
        <v>64131.84</v>
      </c>
      <c r="Q82" s="554">
        <v>69</v>
      </c>
      <c r="R82" s="553">
        <v>38044</v>
      </c>
      <c r="S82" s="561"/>
      <c r="Y82" s="515"/>
    </row>
    <row r="83" spans="1:25" s="290" customFormat="1" ht="11.25">
      <c r="A83" s="491"/>
      <c r="B83" s="289" t="s">
        <v>87</v>
      </c>
      <c r="C83" s="494">
        <f>C81-C82</f>
        <v>0</v>
      </c>
      <c r="D83" s="494">
        <f>D81-D82</f>
        <v>4.474713932722807E-10</v>
      </c>
      <c r="E83" s="494">
        <f>E81-E82</f>
        <v>1834605.240000003</v>
      </c>
      <c r="F83" s="494">
        <f>F81-F82</f>
        <v>32329184.24</v>
      </c>
      <c r="G83" s="494"/>
      <c r="I83" s="494">
        <f t="shared" si="4"/>
        <v>34163789.480000004</v>
      </c>
      <c r="J83" s="494">
        <f>J81-J82</f>
        <v>0</v>
      </c>
      <c r="K83" s="494">
        <f>K81-K82</f>
        <v>0</v>
      </c>
      <c r="L83" s="494">
        <f>L81-L82</f>
        <v>0</v>
      </c>
      <c r="M83" s="494">
        <f>M81-M82</f>
        <v>4162405.9400000004</v>
      </c>
      <c r="N83" s="494"/>
      <c r="P83" s="494">
        <f t="shared" si="5"/>
        <v>4162405.9400000004</v>
      </c>
      <c r="Q83" s="549"/>
      <c r="R83" s="549"/>
      <c r="Y83" s="491"/>
    </row>
    <row r="84" spans="1:25" s="516" customFormat="1" ht="20.25" customHeight="1">
      <c r="A84" s="515"/>
      <c r="B84" s="516" t="s">
        <v>1224</v>
      </c>
      <c r="C84" s="517"/>
      <c r="D84" s="517"/>
      <c r="E84" s="538"/>
      <c r="F84" s="513">
        <v>2448000</v>
      </c>
      <c r="G84" s="538"/>
      <c r="I84" s="513">
        <f t="shared" si="4"/>
        <v>2448000</v>
      </c>
      <c r="J84" s="517"/>
      <c r="K84" s="517"/>
      <c r="L84" s="517"/>
      <c r="M84" s="538">
        <v>432000</v>
      </c>
      <c r="N84" s="517"/>
      <c r="P84" s="513">
        <f t="shared" si="5"/>
        <v>432000</v>
      </c>
      <c r="Q84" s="554">
        <v>70</v>
      </c>
      <c r="R84" s="553">
        <v>38044</v>
      </c>
      <c r="S84" s="561"/>
      <c r="Y84" s="515"/>
    </row>
    <row r="85" spans="1:25" s="290" customFormat="1" ht="11.25">
      <c r="A85" s="491"/>
      <c r="B85" s="289" t="s">
        <v>87</v>
      </c>
      <c r="C85" s="494">
        <f>C83-C84</f>
        <v>0</v>
      </c>
      <c r="D85" s="494">
        <f>D83-D84</f>
        <v>4.474713932722807E-10</v>
      </c>
      <c r="E85" s="494">
        <f>E83-E84</f>
        <v>1834605.240000003</v>
      </c>
      <c r="F85" s="494">
        <f>F83-F84</f>
        <v>29881184.24</v>
      </c>
      <c r="G85" s="494"/>
      <c r="I85" s="494">
        <f t="shared" si="4"/>
        <v>31715789.48</v>
      </c>
      <c r="J85" s="494">
        <f>J83-J84</f>
        <v>0</v>
      </c>
      <c r="K85" s="494">
        <f>K83-K84</f>
        <v>0</v>
      </c>
      <c r="L85" s="494">
        <f>L83-L84</f>
        <v>0</v>
      </c>
      <c r="M85" s="494">
        <f>M83-M84</f>
        <v>3730405.9400000004</v>
      </c>
      <c r="N85" s="494"/>
      <c r="P85" s="494">
        <f t="shared" si="5"/>
        <v>3730405.9400000004</v>
      </c>
      <c r="Q85" s="549"/>
      <c r="R85" s="549"/>
      <c r="Y85" s="491"/>
    </row>
    <row r="86" spans="1:25" s="516" customFormat="1" ht="20.25" customHeight="1">
      <c r="A86" s="515"/>
      <c r="B86" s="516" t="s">
        <v>1225</v>
      </c>
      <c r="C86" s="517"/>
      <c r="D86" s="517"/>
      <c r="E86" s="538"/>
      <c r="F86" s="513">
        <v>3159280</v>
      </c>
      <c r="G86" s="538"/>
      <c r="I86" s="513">
        <f t="shared" si="4"/>
        <v>3159280</v>
      </c>
      <c r="J86" s="517"/>
      <c r="K86" s="517"/>
      <c r="L86" s="517"/>
      <c r="M86" s="538">
        <v>557520</v>
      </c>
      <c r="N86" s="517"/>
      <c r="P86" s="513">
        <f t="shared" si="5"/>
        <v>557520</v>
      </c>
      <c r="Q86" s="554">
        <v>68</v>
      </c>
      <c r="R86" s="553">
        <v>38044</v>
      </c>
      <c r="S86" s="561"/>
      <c r="Y86" s="515"/>
    </row>
    <row r="87" spans="1:25" s="290" customFormat="1" ht="11.25">
      <c r="A87" s="491"/>
      <c r="B87" s="289" t="s">
        <v>87</v>
      </c>
      <c r="C87" s="494">
        <f>C85-C86</f>
        <v>0</v>
      </c>
      <c r="D87" s="494">
        <f>D85-D86</f>
        <v>4.474713932722807E-10</v>
      </c>
      <c r="E87" s="494">
        <f>E85-E86</f>
        <v>1834605.240000003</v>
      </c>
      <c r="F87" s="494">
        <f>F85-F86</f>
        <v>26721904.24</v>
      </c>
      <c r="G87" s="494"/>
      <c r="I87" s="494">
        <f t="shared" si="4"/>
        <v>28556509.48</v>
      </c>
      <c r="J87" s="494">
        <f>J85-J86</f>
        <v>0</v>
      </c>
      <c r="K87" s="494">
        <f>K85-K86</f>
        <v>0</v>
      </c>
      <c r="L87" s="494">
        <f>L85-L86</f>
        <v>0</v>
      </c>
      <c r="M87" s="494">
        <f>M85-M86</f>
        <v>3172885.9400000004</v>
      </c>
      <c r="N87" s="494"/>
      <c r="P87" s="494">
        <f t="shared" si="5"/>
        <v>3172885.9400000004</v>
      </c>
      <c r="Q87" s="549"/>
      <c r="R87" s="549"/>
      <c r="Y87" s="491"/>
    </row>
    <row r="88" spans="1:25" s="290" customFormat="1" ht="11.25">
      <c r="A88" s="491"/>
      <c r="B88" s="289"/>
      <c r="C88" s="494"/>
      <c r="D88" s="494"/>
      <c r="E88" s="494"/>
      <c r="F88" s="494"/>
      <c r="G88" s="494"/>
      <c r="I88" s="494"/>
      <c r="J88" s="494"/>
      <c r="K88" s="494"/>
      <c r="L88" s="494"/>
      <c r="M88" s="494"/>
      <c r="N88" s="494"/>
      <c r="P88" s="494"/>
      <c r="Q88" s="549"/>
      <c r="R88" s="549"/>
      <c r="Y88" s="491"/>
    </row>
    <row r="89" spans="1:25" s="290" customFormat="1" ht="11.25">
      <c r="A89" s="491"/>
      <c r="B89" s="289"/>
      <c r="C89" s="494"/>
      <c r="D89" s="494"/>
      <c r="E89" s="494"/>
      <c r="F89" s="494"/>
      <c r="G89" s="494"/>
      <c r="I89" s="494"/>
      <c r="J89" s="494"/>
      <c r="K89" s="494"/>
      <c r="L89" s="494"/>
      <c r="M89" s="494"/>
      <c r="N89" s="494"/>
      <c r="P89" s="494"/>
      <c r="Q89" s="549"/>
      <c r="R89" s="549"/>
      <c r="Y89" s="491"/>
    </row>
    <row r="90" spans="1:25" s="290" customFormat="1" ht="11.25">
      <c r="A90" s="491"/>
      <c r="B90" s="519" t="s">
        <v>419</v>
      </c>
      <c r="F90" s="559">
        <v>8500000</v>
      </c>
      <c r="I90" s="560">
        <f>SUM(C90:G90)</f>
        <v>8500000</v>
      </c>
      <c r="M90" s="559">
        <v>1500000</v>
      </c>
      <c r="P90" s="560">
        <f>SUM(J90:N90)</f>
        <v>1500000</v>
      </c>
      <c r="Q90" s="549"/>
      <c r="R90" s="549"/>
      <c r="Y90" s="491"/>
    </row>
    <row r="91" spans="1:25" s="290" customFormat="1" ht="11.25">
      <c r="A91" s="491"/>
      <c r="Q91" s="549"/>
      <c r="R91" s="549"/>
      <c r="Y91" s="491"/>
    </row>
    <row r="92" spans="1:25" s="290" customFormat="1" ht="11.25">
      <c r="A92" s="491"/>
      <c r="Q92" s="549"/>
      <c r="R92" s="549"/>
      <c r="Y92" s="491"/>
    </row>
    <row r="93" spans="1:25" s="290" customFormat="1" ht="11.25">
      <c r="A93" s="491"/>
      <c r="B93" s="290" t="s">
        <v>1227</v>
      </c>
      <c r="Q93" s="549"/>
      <c r="R93" s="549"/>
      <c r="Y93" s="491"/>
    </row>
    <row r="96" spans="3:18" s="279" customFormat="1" ht="11.25">
      <c r="C96" s="730" t="s">
        <v>1345</v>
      </c>
      <c r="D96" s="730" t="s">
        <v>1346</v>
      </c>
      <c r="E96" s="730">
        <v>2138670.07</v>
      </c>
      <c r="F96" s="730">
        <v>7808527.45</v>
      </c>
      <c r="G96" s="730">
        <f>2736563.93+3825020</f>
        <v>6561583.93</v>
      </c>
      <c r="H96" s="730">
        <v>44282450</v>
      </c>
      <c r="I96" s="282">
        <f>SUM(C96:H96)</f>
        <v>60791231.45</v>
      </c>
      <c r="J96" s="730" t="s">
        <v>1345</v>
      </c>
      <c r="K96" s="730" t="s">
        <v>1346</v>
      </c>
      <c r="L96" s="730">
        <v>0</v>
      </c>
      <c r="M96" s="730">
        <v>190055.58</v>
      </c>
      <c r="N96" s="730">
        <f>180505.61</f>
        <v>180505.61</v>
      </c>
      <c r="O96" s="730">
        <v>7812181.04</v>
      </c>
      <c r="P96" s="730">
        <f>SUM(J96:O96)</f>
        <v>8182742.23</v>
      </c>
      <c r="Q96" s="731"/>
      <c r="R96" s="731"/>
    </row>
    <row r="97" spans="3:18" ht="11.25">
      <c r="C97" s="728" t="s">
        <v>1340</v>
      </c>
      <c r="D97" s="728">
        <v>4932040</v>
      </c>
      <c r="E97" s="728">
        <f>E96</f>
        <v>2138670.07</v>
      </c>
      <c r="F97" s="728">
        <f>D97-E97</f>
        <v>2793369.93</v>
      </c>
      <c r="G97" s="728"/>
      <c r="H97" s="728"/>
      <c r="I97" s="732">
        <f aca="true" t="shared" si="6" ref="I97:I102">SUM(E97:H97)</f>
        <v>4932040</v>
      </c>
      <c r="J97" s="728" t="s">
        <v>1340</v>
      </c>
      <c r="K97" s="728">
        <v>870360</v>
      </c>
      <c r="L97" s="728"/>
      <c r="M97" s="728">
        <f>M96</f>
        <v>190055.58</v>
      </c>
      <c r="N97" s="728">
        <f>N96</f>
        <v>180505.61</v>
      </c>
      <c r="O97" s="728">
        <f>K97-M97-N97</f>
        <v>499798.81000000006</v>
      </c>
      <c r="P97" s="728">
        <f aca="true" t="shared" si="7" ref="P97:P102">SUM(M97:O97)</f>
        <v>870360</v>
      </c>
      <c r="Q97" s="729"/>
      <c r="R97" s="729"/>
    </row>
    <row r="98" spans="3:18" ht="11.25">
      <c r="C98" s="728" t="s">
        <v>1341</v>
      </c>
      <c r="D98" s="728">
        <v>3476500</v>
      </c>
      <c r="E98" s="728"/>
      <c r="F98" s="728">
        <f>D98</f>
        <v>3476500</v>
      </c>
      <c r="G98" s="728"/>
      <c r="H98" s="728"/>
      <c r="I98" s="732">
        <f t="shared" si="6"/>
        <v>3476500</v>
      </c>
      <c r="J98" s="728" t="s">
        <v>1341</v>
      </c>
      <c r="K98" s="728">
        <v>613500</v>
      </c>
      <c r="L98" s="728"/>
      <c r="M98" s="728"/>
      <c r="N98" s="728"/>
      <c r="O98" s="728">
        <f>K98</f>
        <v>613500</v>
      </c>
      <c r="P98" s="728">
        <f t="shared" si="7"/>
        <v>613500</v>
      </c>
      <c r="Q98" s="729"/>
      <c r="R98" s="729"/>
    </row>
    <row r="99" spans="3:18" ht="11.25">
      <c r="C99" s="728" t="s">
        <v>1342</v>
      </c>
      <c r="D99" s="409">
        <v>2639539</v>
      </c>
      <c r="E99" s="728"/>
      <c r="F99" s="728">
        <v>1538657.52</v>
      </c>
      <c r="G99" s="728">
        <f>D99-F99</f>
        <v>1100881.48</v>
      </c>
      <c r="H99" s="728"/>
      <c r="I99" s="732">
        <f t="shared" si="6"/>
        <v>2639539</v>
      </c>
      <c r="J99" s="728" t="s">
        <v>1342</v>
      </c>
      <c r="K99" s="728">
        <v>465801</v>
      </c>
      <c r="L99" s="728"/>
      <c r="M99" s="728"/>
      <c r="N99" s="728"/>
      <c r="O99" s="728">
        <f>K99</f>
        <v>465801</v>
      </c>
      <c r="P99" s="728">
        <f t="shared" si="7"/>
        <v>465801</v>
      </c>
      <c r="Q99" s="729"/>
      <c r="R99" s="729"/>
    </row>
    <row r="100" spans="3:18" ht="11.25">
      <c r="C100" s="728" t="s">
        <v>1343</v>
      </c>
      <c r="D100" s="728">
        <v>2283440</v>
      </c>
      <c r="E100" s="728"/>
      <c r="F100" s="728"/>
      <c r="G100" s="728">
        <v>1635682.45</v>
      </c>
      <c r="H100" s="728">
        <f>D100-G100</f>
        <v>647757.55</v>
      </c>
      <c r="I100" s="732">
        <f t="shared" si="6"/>
        <v>2283440</v>
      </c>
      <c r="J100" s="728" t="s">
        <v>1343</v>
      </c>
      <c r="K100" s="728">
        <v>402960</v>
      </c>
      <c r="L100" s="728"/>
      <c r="M100" s="728"/>
      <c r="N100" s="728"/>
      <c r="O100" s="728">
        <f>K100</f>
        <v>402960</v>
      </c>
      <c r="P100" s="728">
        <f t="shared" si="7"/>
        <v>402960</v>
      </c>
      <c r="Q100" s="729"/>
      <c r="R100" s="729"/>
    </row>
    <row r="101" spans="3:18" ht="11.25">
      <c r="C101" s="728" t="s">
        <v>1344</v>
      </c>
      <c r="D101" s="728">
        <v>3285249.15</v>
      </c>
      <c r="E101" s="728"/>
      <c r="F101" s="728"/>
      <c r="G101" s="728"/>
      <c r="H101" s="728">
        <f>D101</f>
        <v>3285249.15</v>
      </c>
      <c r="I101" s="732">
        <f t="shared" si="6"/>
        <v>3285249.15</v>
      </c>
      <c r="J101" s="728" t="s">
        <v>1344</v>
      </c>
      <c r="K101" s="728">
        <v>579749.85</v>
      </c>
      <c r="L101" s="728"/>
      <c r="M101" s="728"/>
      <c r="N101" s="728"/>
      <c r="O101" s="728">
        <f>K101</f>
        <v>579749.85</v>
      </c>
      <c r="P101" s="728">
        <f t="shared" si="7"/>
        <v>579749.85</v>
      </c>
      <c r="Q101" s="729"/>
      <c r="R101" s="729"/>
    </row>
    <row r="102" spans="3:18" ht="11.25">
      <c r="C102" s="728" t="s">
        <v>1347</v>
      </c>
      <c r="D102" s="409">
        <v>3978000</v>
      </c>
      <c r="E102" s="728"/>
      <c r="F102" s="728"/>
      <c r="G102" s="728"/>
      <c r="H102" s="728">
        <f>D102</f>
        <v>3978000</v>
      </c>
      <c r="I102" s="732">
        <f t="shared" si="6"/>
        <v>3978000</v>
      </c>
      <c r="J102" s="728" t="s">
        <v>1347</v>
      </c>
      <c r="K102" s="728">
        <v>702000</v>
      </c>
      <c r="L102" s="728"/>
      <c r="M102" s="728"/>
      <c r="N102" s="728"/>
      <c r="O102" s="728">
        <f>K102</f>
        <v>702000</v>
      </c>
      <c r="P102" s="728">
        <f t="shared" si="7"/>
        <v>702000</v>
      </c>
      <c r="Q102" s="729"/>
      <c r="R102" s="729"/>
    </row>
    <row r="103" spans="3:18" ht="11.25">
      <c r="C103" s="728"/>
      <c r="D103" s="409"/>
      <c r="E103" s="728"/>
      <c r="F103" s="728"/>
      <c r="G103" s="728"/>
      <c r="H103" s="728"/>
      <c r="I103" s="732"/>
      <c r="J103" s="728"/>
      <c r="K103" s="728"/>
      <c r="L103" s="728"/>
      <c r="M103" s="728"/>
      <c r="N103" s="728"/>
      <c r="O103" s="728"/>
      <c r="P103" s="728"/>
      <c r="Q103" s="729"/>
      <c r="R103" s="729"/>
    </row>
    <row r="104" spans="3:18" ht="11.25">
      <c r="C104" s="728"/>
      <c r="D104" s="409"/>
      <c r="E104" s="728"/>
      <c r="F104" s="728"/>
      <c r="G104" s="728"/>
      <c r="H104" s="728"/>
      <c r="I104" s="732"/>
      <c r="J104" s="728"/>
      <c r="K104" s="728"/>
      <c r="L104" s="728"/>
      <c r="M104" s="728"/>
      <c r="N104" s="728"/>
      <c r="O104" s="728"/>
      <c r="P104" s="728"/>
      <c r="Q104" s="729"/>
      <c r="R104" s="729"/>
    </row>
    <row r="105" spans="3:18" ht="11.25">
      <c r="C105" s="728"/>
      <c r="D105" s="409"/>
      <c r="E105" s="728"/>
      <c r="F105" s="728"/>
      <c r="G105" s="728"/>
      <c r="H105" s="728"/>
      <c r="I105" s="732"/>
      <c r="J105" s="728"/>
      <c r="K105" s="728"/>
      <c r="L105" s="728"/>
      <c r="M105" s="728"/>
      <c r="N105" s="728"/>
      <c r="O105" s="728"/>
      <c r="P105" s="728"/>
      <c r="Q105" s="729"/>
      <c r="R105" s="729"/>
    </row>
    <row r="106" spans="3:18" ht="11.25">
      <c r="C106" s="728"/>
      <c r="D106" s="728">
        <f>SUM(D97:D101)</f>
        <v>16616768.15</v>
      </c>
      <c r="E106" s="728">
        <f>E96-E97-E98-E99-E100-E101</f>
        <v>0</v>
      </c>
      <c r="F106" s="728">
        <f>F96-F97-F98-F99-F100-F101</f>
        <v>-4.656612873077393E-10</v>
      </c>
      <c r="G106" s="728">
        <f>G96-G97-G98-G99-G100-G101</f>
        <v>3825019.999999999</v>
      </c>
      <c r="H106" s="728">
        <f>H96-H97-H98-H99-H100-H101-H102</f>
        <v>36371443.300000004</v>
      </c>
      <c r="I106" s="732">
        <f>SUM(E106:H106)</f>
        <v>40196463.300000004</v>
      </c>
      <c r="J106" s="728"/>
      <c r="K106" s="728">
        <f>SUM(K97:K101)</f>
        <v>2932370.85</v>
      </c>
      <c r="L106" s="728">
        <f>L96-L97-L98-L99-L100-L101</f>
        <v>0</v>
      </c>
      <c r="M106" s="728">
        <f>M96-M97-M98-M99-M100-M101</f>
        <v>0</v>
      </c>
      <c r="N106" s="728">
        <f>N96-N97-N98-N99-N100-N101</f>
        <v>0</v>
      </c>
      <c r="O106" s="728">
        <f>O96-O97-O98-O99-O100-O101-O102</f>
        <v>4548371.380000001</v>
      </c>
      <c r="P106" s="728"/>
      <c r="Q106" s="729"/>
      <c r="R106" s="729"/>
    </row>
    <row r="107" spans="3:18" ht="11.25">
      <c r="C107" s="728"/>
      <c r="D107" s="728"/>
      <c r="E107" s="728"/>
      <c r="F107" s="728"/>
      <c r="G107" s="728"/>
      <c r="H107" s="728"/>
      <c r="I107" s="728"/>
      <c r="J107" s="728"/>
      <c r="K107" s="728"/>
      <c r="L107" s="728"/>
      <c r="M107" s="728"/>
      <c r="N107" s="728"/>
      <c r="P107" s="728"/>
      <c r="Q107" s="729"/>
      <c r="R107" s="729"/>
    </row>
    <row r="108" spans="3:18" ht="11.25">
      <c r="C108" s="728"/>
      <c r="D108" s="728"/>
      <c r="E108" s="728"/>
      <c r="F108" s="728"/>
      <c r="G108" s="728"/>
      <c r="H108" s="728"/>
      <c r="I108" s="728"/>
      <c r="J108" s="728"/>
      <c r="K108" s="728"/>
      <c r="L108" s="728"/>
      <c r="M108" s="728"/>
      <c r="N108" s="728"/>
      <c r="P108" s="728"/>
      <c r="Q108" s="729"/>
      <c r="R108" s="729"/>
    </row>
    <row r="109" spans="3:18" ht="11.25">
      <c r="C109" s="728"/>
      <c r="D109" s="728"/>
      <c r="E109" s="728"/>
      <c r="F109" s="728"/>
      <c r="G109" s="728"/>
      <c r="H109" s="728"/>
      <c r="I109" s="728"/>
      <c r="J109" s="728"/>
      <c r="K109" s="728"/>
      <c r="L109" s="728"/>
      <c r="M109" s="728"/>
      <c r="N109" s="728"/>
      <c r="P109" s="728"/>
      <c r="Q109" s="729"/>
      <c r="R109" s="729"/>
    </row>
    <row r="110" spans="3:18" ht="11.25">
      <c r="C110" s="728"/>
      <c r="D110" s="728"/>
      <c r="E110" s="728"/>
      <c r="F110" s="728"/>
      <c r="G110" s="728"/>
      <c r="H110" s="728"/>
      <c r="I110" s="728"/>
      <c r="J110" s="728"/>
      <c r="K110" s="728"/>
      <c r="L110" s="728"/>
      <c r="M110" s="728"/>
      <c r="N110" s="728"/>
      <c r="P110" s="728"/>
      <c r="Q110" s="729"/>
      <c r="R110" s="729"/>
    </row>
    <row r="111" spans="3:18" ht="11.25">
      <c r="C111" s="728"/>
      <c r="D111" s="728"/>
      <c r="E111" s="728"/>
      <c r="F111" s="728"/>
      <c r="G111" s="728"/>
      <c r="H111" s="728"/>
      <c r="I111" s="728"/>
      <c r="J111" s="728"/>
      <c r="K111" s="728"/>
      <c r="L111" s="728"/>
      <c r="M111" s="728"/>
      <c r="N111" s="728"/>
      <c r="P111" s="728"/>
      <c r="Q111" s="729"/>
      <c r="R111" s="729"/>
    </row>
    <row r="112" spans="3:18" ht="11.25">
      <c r="C112" s="728"/>
      <c r="D112" s="728"/>
      <c r="E112" s="728"/>
      <c r="F112" s="728"/>
      <c r="G112" s="728"/>
      <c r="H112" s="728"/>
      <c r="I112" s="728"/>
      <c r="J112" s="728"/>
      <c r="K112" s="728"/>
      <c r="L112" s="728"/>
      <c r="M112" s="728"/>
      <c r="N112" s="728"/>
      <c r="P112" s="728"/>
      <c r="Q112" s="729"/>
      <c r="R112" s="729"/>
    </row>
  </sheetData>
  <sheetProtection/>
  <mergeCells count="4">
    <mergeCell ref="U3:AA3"/>
    <mergeCell ref="C3:H3"/>
    <mergeCell ref="J3:O3"/>
    <mergeCell ref="B1:T1"/>
  </mergeCells>
  <printOptions gridLines="1" horizontalCentered="1" verticalCentered="1"/>
  <pageMargins left="0.2755905511811024" right="0.35433070866141736" top="0.2755905511811024" bottom="0.2755905511811024" header="0.2362204724409449" footer="0.15748031496062992"/>
  <pageSetup horizontalDpi="600" verticalDpi="600" orientation="landscape" paperSize="9" scale="75" r:id="rId3"/>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dimension ref="A1:G34"/>
  <sheetViews>
    <sheetView zoomScale="75" zoomScaleNormal="75" zoomScalePageLayoutView="0" workbookViewId="0" topLeftCell="A1">
      <pane xSplit="2" ySplit="1" topLeftCell="E15" activePane="bottomRight" state="frozen"/>
      <selection pane="topLeft" activeCell="A1" sqref="A1"/>
      <selection pane="topRight" activeCell="C1" sqref="C1"/>
      <selection pane="bottomLeft" activeCell="A2" sqref="A2"/>
      <selection pane="bottomRight" activeCell="B17" sqref="B17"/>
    </sheetView>
  </sheetViews>
  <sheetFormatPr defaultColWidth="9.140625" defaultRowHeight="12.75"/>
  <cols>
    <col min="1" max="1" width="4.00390625" style="383" customWidth="1"/>
    <col min="2" max="2" width="19.7109375" style="376" customWidth="1"/>
    <col min="3" max="3" width="15.140625" style="376" customWidth="1"/>
    <col min="4" max="4" width="11.8515625" style="385" customWidth="1"/>
    <col min="5" max="5" width="12.8515625" style="385" bestFit="1" customWidth="1"/>
    <col min="6" max="6" width="13.00390625" style="365" bestFit="1" customWidth="1"/>
    <col min="7" max="7" width="83.57421875" style="366" customWidth="1"/>
    <col min="8" max="16384" width="9.140625" style="365" customWidth="1"/>
  </cols>
  <sheetData>
    <row r="1" spans="1:7" ht="123">
      <c r="A1" s="361" t="s">
        <v>665</v>
      </c>
      <c r="B1" s="362" t="s">
        <v>771</v>
      </c>
      <c r="C1" s="362" t="s">
        <v>772</v>
      </c>
      <c r="D1" s="363" t="s">
        <v>773</v>
      </c>
      <c r="E1" s="364" t="s">
        <v>1075</v>
      </c>
      <c r="F1" s="387" t="s">
        <v>924</v>
      </c>
      <c r="G1" s="388" t="s">
        <v>1076</v>
      </c>
    </row>
    <row r="2" spans="1:7" ht="63.75">
      <c r="A2" s="367">
        <v>3</v>
      </c>
      <c r="B2" s="368" t="s">
        <v>791</v>
      </c>
      <c r="C2" s="368" t="s">
        <v>792</v>
      </c>
      <c r="D2" s="369">
        <v>3846067.41</v>
      </c>
      <c r="E2" s="370">
        <v>4455065.892</v>
      </c>
      <c r="F2" s="370">
        <v>2500000</v>
      </c>
      <c r="G2" s="366" t="s">
        <v>296</v>
      </c>
    </row>
    <row r="3" spans="1:7" ht="155.25" customHeight="1">
      <c r="A3" s="367">
        <v>44</v>
      </c>
      <c r="B3" s="368" t="s">
        <v>291</v>
      </c>
      <c r="C3" s="368" t="s">
        <v>801</v>
      </c>
      <c r="D3" s="369">
        <v>3563800</v>
      </c>
      <c r="E3" s="370">
        <v>3810100</v>
      </c>
      <c r="F3" s="370">
        <v>2476565</v>
      </c>
      <c r="G3" s="366" t="s">
        <v>365</v>
      </c>
    </row>
    <row r="4" spans="1:7" ht="197.25" customHeight="1">
      <c r="A4" s="367">
        <v>41</v>
      </c>
      <c r="B4" s="368" t="s">
        <v>808</v>
      </c>
      <c r="C4" s="368" t="s">
        <v>752</v>
      </c>
      <c r="D4" s="369">
        <v>1500000</v>
      </c>
      <c r="E4" s="370">
        <v>1617000</v>
      </c>
      <c r="F4" s="370">
        <v>808500</v>
      </c>
      <c r="G4" s="366" t="s">
        <v>375</v>
      </c>
    </row>
    <row r="5" spans="1:7" ht="102">
      <c r="A5" s="371">
        <v>32</v>
      </c>
      <c r="B5" s="372" t="s">
        <v>812</v>
      </c>
      <c r="C5" s="368" t="s">
        <v>749</v>
      </c>
      <c r="D5" s="373">
        <v>934200</v>
      </c>
      <c r="E5" s="370">
        <v>1013940</v>
      </c>
      <c r="F5" s="370">
        <v>659061</v>
      </c>
      <c r="G5" s="366" t="s">
        <v>376</v>
      </c>
    </row>
    <row r="6" spans="1:7" ht="184.5" customHeight="1">
      <c r="A6" s="367">
        <v>34</v>
      </c>
      <c r="B6" s="368" t="s">
        <v>816</v>
      </c>
      <c r="C6" s="368" t="s">
        <v>750</v>
      </c>
      <c r="D6" s="369">
        <v>2584036</v>
      </c>
      <c r="E6" s="370">
        <v>2821579.2</v>
      </c>
      <c r="F6" s="370">
        <v>1834026.48</v>
      </c>
      <c r="G6" s="366" t="s">
        <v>382</v>
      </c>
    </row>
    <row r="7" spans="1:7" ht="161.25" customHeight="1">
      <c r="A7" s="367">
        <v>28</v>
      </c>
      <c r="B7" s="368" t="s">
        <v>826</v>
      </c>
      <c r="C7" s="374" t="s">
        <v>747</v>
      </c>
      <c r="D7" s="369">
        <v>3842070</v>
      </c>
      <c r="E7" s="370">
        <v>4072757.4</v>
      </c>
      <c r="F7" s="370">
        <v>2500000</v>
      </c>
      <c r="G7" s="366" t="s">
        <v>406</v>
      </c>
    </row>
    <row r="8" spans="1:7" ht="292.5" customHeight="1">
      <c r="A8" s="375">
        <v>45</v>
      </c>
      <c r="B8" s="376" t="s">
        <v>829</v>
      </c>
      <c r="C8" s="376" t="s">
        <v>830</v>
      </c>
      <c r="D8" s="370">
        <v>498707</v>
      </c>
      <c r="E8" s="370">
        <v>588768.4</v>
      </c>
      <c r="F8" s="370">
        <v>382699.46</v>
      </c>
      <c r="G8" s="366" t="s">
        <v>417</v>
      </c>
    </row>
    <row r="9" spans="1:7" ht="140.25">
      <c r="A9" s="367">
        <v>25</v>
      </c>
      <c r="B9" s="368" t="s">
        <v>834</v>
      </c>
      <c r="C9" s="368" t="s">
        <v>835</v>
      </c>
      <c r="D9" s="369">
        <v>2074479</v>
      </c>
      <c r="E9" s="370">
        <v>2261279</v>
      </c>
      <c r="F9" s="370">
        <v>1469831.35</v>
      </c>
      <c r="G9" s="366" t="s">
        <v>421</v>
      </c>
    </row>
    <row r="10" spans="1:7" ht="234.75" customHeight="1">
      <c r="A10" s="377">
        <v>21</v>
      </c>
      <c r="B10" s="368" t="s">
        <v>40</v>
      </c>
      <c r="C10" s="368" t="s">
        <v>839</v>
      </c>
      <c r="D10" s="369">
        <v>600000</v>
      </c>
      <c r="E10" s="370">
        <v>720000</v>
      </c>
      <c r="F10" s="370">
        <v>468000</v>
      </c>
      <c r="G10" s="366" t="s">
        <v>435</v>
      </c>
    </row>
    <row r="11" spans="1:7" ht="103.5" customHeight="1">
      <c r="A11" s="378">
        <v>23</v>
      </c>
      <c r="B11" s="376" t="s">
        <v>843</v>
      </c>
      <c r="C11" s="376" t="s">
        <v>62</v>
      </c>
      <c r="D11" s="370">
        <v>421350</v>
      </c>
      <c r="E11" s="370">
        <v>478990</v>
      </c>
      <c r="F11" s="370">
        <v>311343.5</v>
      </c>
      <c r="G11" s="366" t="s">
        <v>444</v>
      </c>
    </row>
    <row r="12" spans="1:7" ht="178.5">
      <c r="A12" s="367">
        <v>39</v>
      </c>
      <c r="B12" s="368" t="s">
        <v>847</v>
      </c>
      <c r="C12" s="368" t="s">
        <v>751</v>
      </c>
      <c r="D12" s="369">
        <v>659925</v>
      </c>
      <c r="E12" s="370">
        <v>747610</v>
      </c>
      <c r="F12" s="370">
        <v>485946.5</v>
      </c>
      <c r="G12" s="366" t="s">
        <v>445</v>
      </c>
    </row>
    <row r="13" spans="1:7" ht="185.25" customHeight="1">
      <c r="A13" s="371">
        <v>10</v>
      </c>
      <c r="B13" s="372" t="s">
        <v>851</v>
      </c>
      <c r="C13" s="372" t="s">
        <v>852</v>
      </c>
      <c r="D13" s="373">
        <v>719530</v>
      </c>
      <c r="E13" s="370">
        <v>863436</v>
      </c>
      <c r="F13" s="370">
        <v>561233.4</v>
      </c>
      <c r="G13" s="366" t="s">
        <v>345</v>
      </c>
    </row>
    <row r="14" spans="1:7" ht="192.75" customHeight="1">
      <c r="A14" s="367">
        <v>27</v>
      </c>
      <c r="B14" s="368" t="s">
        <v>854</v>
      </c>
      <c r="C14" s="368" t="s">
        <v>855</v>
      </c>
      <c r="D14" s="369">
        <v>793500</v>
      </c>
      <c r="E14" s="370">
        <v>927500</v>
      </c>
      <c r="F14" s="370">
        <v>463750</v>
      </c>
      <c r="G14" s="366" t="s">
        <v>459</v>
      </c>
    </row>
    <row r="15" spans="1:7" ht="51">
      <c r="A15" s="367">
        <v>8</v>
      </c>
      <c r="B15" s="368" t="s">
        <v>857</v>
      </c>
      <c r="C15" s="368" t="s">
        <v>858</v>
      </c>
      <c r="D15" s="369">
        <v>2422000</v>
      </c>
      <c r="E15" s="370">
        <v>2851600</v>
      </c>
      <c r="F15" s="370">
        <v>1825024</v>
      </c>
      <c r="G15" s="366" t="s">
        <v>300</v>
      </c>
    </row>
    <row r="16" spans="1:7" ht="63.75">
      <c r="A16" s="367">
        <v>9</v>
      </c>
      <c r="B16" s="368" t="s">
        <v>864</v>
      </c>
      <c r="C16" s="368" t="s">
        <v>865</v>
      </c>
      <c r="D16" s="369">
        <v>1757072</v>
      </c>
      <c r="E16" s="370">
        <v>2009142.4</v>
      </c>
      <c r="F16" s="370">
        <v>1305942.56</v>
      </c>
      <c r="G16" s="366" t="s">
        <v>301</v>
      </c>
    </row>
    <row r="17" spans="1:7" ht="297" customHeight="1">
      <c r="A17" s="367">
        <v>14</v>
      </c>
      <c r="B17" s="368" t="s">
        <v>869</v>
      </c>
      <c r="C17" s="368" t="s">
        <v>483</v>
      </c>
      <c r="D17" s="369">
        <v>3538950</v>
      </c>
      <c r="E17" s="370">
        <v>4066340</v>
      </c>
      <c r="F17" s="370">
        <v>2500000</v>
      </c>
      <c r="G17" s="366" t="s">
        <v>1062</v>
      </c>
    </row>
    <row r="18" spans="1:7" ht="195.75" customHeight="1">
      <c r="A18" s="367">
        <v>15</v>
      </c>
      <c r="B18" s="368" t="s">
        <v>877</v>
      </c>
      <c r="C18" s="368" t="s">
        <v>878</v>
      </c>
      <c r="D18" s="369">
        <v>996480</v>
      </c>
      <c r="E18" s="370">
        <v>1159344</v>
      </c>
      <c r="F18" s="370">
        <v>753573.6</v>
      </c>
      <c r="G18" s="366" t="s">
        <v>1063</v>
      </c>
    </row>
    <row r="19" spans="1:7" ht="92.25" customHeight="1">
      <c r="A19" s="367">
        <v>4</v>
      </c>
      <c r="B19" s="368" t="s">
        <v>882</v>
      </c>
      <c r="C19" s="368" t="s">
        <v>525</v>
      </c>
      <c r="D19" s="369">
        <v>1730560</v>
      </c>
      <c r="E19" s="370">
        <v>1942600</v>
      </c>
      <c r="F19" s="370">
        <v>1262690</v>
      </c>
      <c r="G19" s="366" t="s">
        <v>299</v>
      </c>
    </row>
    <row r="20" spans="1:7" ht="228" customHeight="1">
      <c r="A20" s="378">
        <v>31</v>
      </c>
      <c r="B20" s="379" t="s">
        <v>884</v>
      </c>
      <c r="C20" s="379" t="s">
        <v>885</v>
      </c>
      <c r="D20" s="380">
        <v>438880</v>
      </c>
      <c r="E20" s="370">
        <v>512256</v>
      </c>
      <c r="F20" s="370">
        <v>332966.4</v>
      </c>
      <c r="G20" s="366" t="s">
        <v>1064</v>
      </c>
    </row>
    <row r="21" spans="1:7" ht="165.75">
      <c r="A21" s="367">
        <v>26</v>
      </c>
      <c r="B21" s="368" t="s">
        <v>890</v>
      </c>
      <c r="C21" s="368" t="s">
        <v>891</v>
      </c>
      <c r="D21" s="369">
        <v>733650</v>
      </c>
      <c r="E21" s="370">
        <v>814780</v>
      </c>
      <c r="F21" s="370">
        <v>529607</v>
      </c>
      <c r="G21" s="366" t="s">
        <v>1065</v>
      </c>
    </row>
    <row r="22" spans="1:7" ht="236.25" customHeight="1">
      <c r="A22" s="367">
        <v>29</v>
      </c>
      <c r="B22" s="368" t="s">
        <v>290</v>
      </c>
      <c r="C22" s="368" t="s">
        <v>748</v>
      </c>
      <c r="D22" s="369">
        <v>1878269</v>
      </c>
      <c r="E22" s="370">
        <v>2240428.8</v>
      </c>
      <c r="F22" s="370">
        <v>1456278.72</v>
      </c>
      <c r="G22" s="366" t="s">
        <v>1066</v>
      </c>
    </row>
    <row r="23" spans="1:7" ht="152.25" customHeight="1">
      <c r="A23" s="381">
        <v>19</v>
      </c>
      <c r="B23" s="379" t="s">
        <v>39</v>
      </c>
      <c r="C23" s="379" t="s">
        <v>897</v>
      </c>
      <c r="D23" s="380">
        <v>1657890</v>
      </c>
      <c r="E23" s="370">
        <v>1989468</v>
      </c>
      <c r="F23" s="370">
        <v>1293154.2</v>
      </c>
      <c r="G23" s="366" t="s">
        <v>1067</v>
      </c>
    </row>
    <row r="24" spans="1:7" ht="112.5" customHeight="1">
      <c r="A24" s="378">
        <v>30</v>
      </c>
      <c r="B24" s="379" t="s">
        <v>899</v>
      </c>
      <c r="C24" s="379" t="s">
        <v>900</v>
      </c>
      <c r="D24" s="380">
        <v>2136920</v>
      </c>
      <c r="E24" s="370">
        <v>2500230.8</v>
      </c>
      <c r="F24" s="370">
        <v>1625150.02</v>
      </c>
      <c r="G24" s="366" t="s">
        <v>1068</v>
      </c>
    </row>
    <row r="25" spans="1:7" ht="247.5" customHeight="1">
      <c r="A25" s="375">
        <v>46</v>
      </c>
      <c r="B25" s="376" t="s">
        <v>140</v>
      </c>
      <c r="C25" s="376" t="s">
        <v>756</v>
      </c>
      <c r="D25" s="370">
        <v>538800</v>
      </c>
      <c r="E25" s="370">
        <v>627964</v>
      </c>
      <c r="F25" s="370">
        <v>408176.6</v>
      </c>
      <c r="G25" s="366" t="s">
        <v>1069</v>
      </c>
    </row>
    <row r="26" spans="1:7" ht="177" customHeight="1">
      <c r="A26" s="381">
        <v>24</v>
      </c>
      <c r="B26" s="382" t="s">
        <v>905</v>
      </c>
      <c r="C26" s="379"/>
      <c r="D26" s="380">
        <v>1980000</v>
      </c>
      <c r="E26" s="370">
        <v>2102000</v>
      </c>
      <c r="F26" s="370">
        <v>1051000</v>
      </c>
      <c r="G26" s="366" t="s">
        <v>1070</v>
      </c>
    </row>
    <row r="27" spans="1:7" ht="202.5" customHeight="1">
      <c r="A27" s="367">
        <v>12</v>
      </c>
      <c r="B27" s="368" t="s">
        <v>907</v>
      </c>
      <c r="C27" s="368" t="s">
        <v>908</v>
      </c>
      <c r="D27" s="369">
        <v>264052.5</v>
      </c>
      <c r="E27" s="370">
        <v>305344</v>
      </c>
      <c r="F27" s="370">
        <v>152672</v>
      </c>
      <c r="G27" s="366" t="s">
        <v>1071</v>
      </c>
    </row>
    <row r="28" spans="1:7" ht="333" customHeight="1">
      <c r="A28" s="381">
        <v>35</v>
      </c>
      <c r="B28" s="382" t="s">
        <v>917</v>
      </c>
      <c r="C28" s="379" t="s">
        <v>137</v>
      </c>
      <c r="D28" s="380">
        <v>4979497</v>
      </c>
      <c r="E28" s="370">
        <v>5478416.4</v>
      </c>
      <c r="F28" s="370">
        <v>2500000</v>
      </c>
      <c r="G28" s="366" t="s">
        <v>1072</v>
      </c>
    </row>
    <row r="29" spans="1:7" ht="89.25" customHeight="1">
      <c r="A29" s="378">
        <v>47</v>
      </c>
      <c r="B29" s="379" t="s">
        <v>272</v>
      </c>
      <c r="C29" s="379" t="s">
        <v>919</v>
      </c>
      <c r="D29" s="380">
        <v>333175</v>
      </c>
      <c r="E29" s="370">
        <v>389490</v>
      </c>
      <c r="F29" s="370">
        <v>194745</v>
      </c>
      <c r="G29" s="366" t="s">
        <v>1073</v>
      </c>
    </row>
    <row r="30" spans="1:7" ht="132" customHeight="1">
      <c r="A30" s="378">
        <v>50</v>
      </c>
      <c r="B30" s="379" t="s">
        <v>126</v>
      </c>
      <c r="C30" s="379" t="s">
        <v>987</v>
      </c>
      <c r="D30" s="380">
        <v>3845266</v>
      </c>
      <c r="E30" s="370">
        <v>4409460.6</v>
      </c>
      <c r="F30" s="370">
        <v>2500000</v>
      </c>
      <c r="G30" s="366" t="s">
        <v>1074</v>
      </c>
    </row>
    <row r="31" spans="1:7" s="392" customFormat="1" ht="12.75">
      <c r="A31" s="389"/>
      <c r="B31" s="390"/>
      <c r="C31" s="390"/>
      <c r="D31" s="384">
        <f>SUM(D2:D30)</f>
        <v>51269125.91</v>
      </c>
      <c r="E31" s="385">
        <f>SUM(E2:E30)</f>
        <v>57776890.89199999</v>
      </c>
      <c r="F31" s="385">
        <f>SUM(F2:F30)</f>
        <v>34611936.79</v>
      </c>
      <c r="G31" s="391"/>
    </row>
    <row r="32" ht="12.75">
      <c r="D32" s="386"/>
    </row>
    <row r="33" ht="12.75">
      <c r="D33" s="370"/>
    </row>
    <row r="34" ht="12.75">
      <c r="D34" s="370"/>
    </row>
  </sheetData>
  <sheetProtection/>
  <printOptions gridLines="1"/>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G21"/>
  <sheetViews>
    <sheetView zoomScalePageLayoutView="0" workbookViewId="0" topLeftCell="A1">
      <selection activeCell="E29" sqref="E29"/>
    </sheetView>
  </sheetViews>
  <sheetFormatPr defaultColWidth="9.140625" defaultRowHeight="12.75"/>
  <cols>
    <col min="1" max="5" width="18.28125" style="0" customWidth="1"/>
  </cols>
  <sheetData>
    <row r="3" ht="12.75">
      <c r="D3" s="643"/>
    </row>
    <row r="4" ht="12.75">
      <c r="D4" s="643"/>
    </row>
    <row r="5" spans="1:4" ht="12.75">
      <c r="A5" s="392" t="s">
        <v>1278</v>
      </c>
      <c r="D5" s="643"/>
    </row>
    <row r="6" ht="12.75">
      <c r="D6" s="643"/>
    </row>
    <row r="7" spans="1:5" s="646" customFormat="1" ht="12.75">
      <c r="A7" s="644" t="s">
        <v>1279</v>
      </c>
      <c r="B7" s="644">
        <v>2002</v>
      </c>
      <c r="C7" s="644">
        <v>2003</v>
      </c>
      <c r="D7" s="645">
        <v>2004</v>
      </c>
      <c r="E7" s="644">
        <v>2005</v>
      </c>
    </row>
    <row r="8" spans="1:7" ht="12.75">
      <c r="A8" s="647" t="s">
        <v>1280</v>
      </c>
      <c r="B8" s="648">
        <v>0</v>
      </c>
      <c r="C8" s="648">
        <v>2550000</v>
      </c>
      <c r="D8" s="648">
        <v>1393745.42</v>
      </c>
      <c r="E8" s="648">
        <v>13870.36</v>
      </c>
      <c r="F8" s="643"/>
      <c r="G8" s="643"/>
    </row>
    <row r="9" spans="1:7" ht="12.75">
      <c r="A9" s="647" t="s">
        <v>1281</v>
      </c>
      <c r="B9" s="648">
        <v>1572500</v>
      </c>
      <c r="C9" s="648">
        <v>1433342.34</v>
      </c>
      <c r="D9" s="648">
        <v>10745000</v>
      </c>
      <c r="E9" s="648">
        <v>48597900</v>
      </c>
      <c r="F9" s="643"/>
      <c r="G9" s="643"/>
    </row>
    <row r="10" spans="1:7" ht="12.75">
      <c r="A10" s="647" t="s">
        <v>1282</v>
      </c>
      <c r="B10" s="648"/>
      <c r="C10" s="648"/>
      <c r="D10" s="648">
        <v>1699894.464</v>
      </c>
      <c r="E10" s="648"/>
      <c r="F10" s="643"/>
      <c r="G10" s="643"/>
    </row>
    <row r="11" spans="1:7" ht="12.75">
      <c r="A11" s="647" t="s">
        <v>1268</v>
      </c>
      <c r="B11" s="648"/>
      <c r="C11" s="648"/>
      <c r="D11" s="648">
        <v>1307402</v>
      </c>
      <c r="E11" s="648"/>
      <c r="F11" s="643"/>
      <c r="G11" s="643"/>
    </row>
    <row r="12" spans="1:7" ht="12.75">
      <c r="A12" s="647" t="s">
        <v>1262</v>
      </c>
      <c r="B12" s="648"/>
      <c r="C12" s="648"/>
      <c r="D12" s="648">
        <v>1700000</v>
      </c>
      <c r="E12" s="648"/>
      <c r="F12" s="643"/>
      <c r="G12" s="643"/>
    </row>
    <row r="13" spans="1:7" s="392" customFormat="1" ht="12.75">
      <c r="A13" s="649" t="s">
        <v>1283</v>
      </c>
      <c r="B13" s="650">
        <f>SUM(B8:B9)</f>
        <v>1572500</v>
      </c>
      <c r="C13" s="650">
        <f>SUM(C8:C9)</f>
        <v>3983342.34</v>
      </c>
      <c r="D13" s="650">
        <f>D8+D9-D10-D11-D12</f>
        <v>7431448.956</v>
      </c>
      <c r="E13" s="650">
        <f>SUM(E8:E9)</f>
        <v>48611770.36</v>
      </c>
      <c r="F13" s="651"/>
      <c r="G13" s="651"/>
    </row>
    <row r="14" spans="1:7" ht="12.75">
      <c r="A14" s="647" t="s">
        <v>1284</v>
      </c>
      <c r="B14" s="648">
        <v>0</v>
      </c>
      <c r="C14" s="648">
        <v>0</v>
      </c>
      <c r="D14" s="648">
        <v>70477.62</v>
      </c>
      <c r="E14" s="648">
        <v>2447.71</v>
      </c>
      <c r="F14" s="643"/>
      <c r="G14" s="643"/>
    </row>
    <row r="15" spans="1:7" ht="12.75">
      <c r="A15" s="647" t="s">
        <v>1285</v>
      </c>
      <c r="B15" s="648">
        <v>0</v>
      </c>
      <c r="C15" s="648">
        <v>0</v>
      </c>
      <c r="D15" s="648">
        <v>1000000</v>
      </c>
      <c r="E15" s="648">
        <v>8576100</v>
      </c>
      <c r="F15" s="643"/>
      <c r="G15" s="643"/>
    </row>
    <row r="16" spans="1:7" ht="12.75">
      <c r="A16" s="647" t="s">
        <v>1282</v>
      </c>
      <c r="B16" s="648"/>
      <c r="C16" s="648"/>
      <c r="D16" s="648">
        <v>299981.376</v>
      </c>
      <c r="E16" s="648"/>
      <c r="F16" s="643"/>
      <c r="G16" s="643"/>
    </row>
    <row r="17" spans="1:7" ht="12.75">
      <c r="A17" s="647" t="s">
        <v>1268</v>
      </c>
      <c r="B17" s="648"/>
      <c r="C17" s="648"/>
      <c r="D17" s="648">
        <v>230718</v>
      </c>
      <c r="E17" s="648"/>
      <c r="F17" s="643"/>
      <c r="G17" s="643"/>
    </row>
    <row r="18" spans="1:7" ht="12.75">
      <c r="A18" s="647" t="s">
        <v>1262</v>
      </c>
      <c r="B18" s="648"/>
      <c r="C18" s="648"/>
      <c r="D18" s="648">
        <v>300000</v>
      </c>
      <c r="E18" s="648"/>
      <c r="F18" s="643"/>
      <c r="G18" s="643"/>
    </row>
    <row r="19" spans="1:5" s="392" customFormat="1" ht="12.75">
      <c r="A19" s="649" t="s">
        <v>1283</v>
      </c>
      <c r="B19" s="650">
        <f>SUM(B14:B15)</f>
        <v>0</v>
      </c>
      <c r="C19" s="650">
        <f>SUM(C14:C15)</f>
        <v>0</v>
      </c>
      <c r="D19" s="650">
        <f>D14+D15-D16-D17-D18</f>
        <v>239778.24400000018</v>
      </c>
      <c r="E19" s="650">
        <f>SUM(E14:E15)</f>
        <v>8578547.71</v>
      </c>
    </row>
    <row r="20" spans="1:5" s="392" customFormat="1" ht="12.75">
      <c r="A20" s="652" t="s">
        <v>1286</v>
      </c>
      <c r="B20" s="651">
        <f>B19+B13</f>
        <v>1572500</v>
      </c>
      <c r="C20" s="651">
        <f>C19+C13</f>
        <v>3983342.34</v>
      </c>
      <c r="D20" s="651">
        <f>D19+D13</f>
        <v>7671227.2</v>
      </c>
      <c r="E20" s="651">
        <f>E19+E13</f>
        <v>57190318.07</v>
      </c>
    </row>
    <row r="21" ht="12.75">
      <c r="D21" s="643"/>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Tecnopolis CSATA Novus Ortus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Tecnopolis</dc:creator>
  <cp:keywords/>
  <dc:description/>
  <cp:lastModifiedBy>.</cp:lastModifiedBy>
  <cp:lastPrinted>2009-06-30T08:49:21Z</cp:lastPrinted>
  <dcterms:created xsi:type="dcterms:W3CDTF">1998-05-14T09:40:11Z</dcterms:created>
  <dcterms:modified xsi:type="dcterms:W3CDTF">2009-11-05T13:50:26Z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