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10" windowHeight="5160" activeTab="0"/>
  </bookViews>
  <sheets>
    <sheet name="Dati" sheetId="1" r:id="rId1"/>
    <sheet name="Aut80%" sheetId="2" r:id="rId2"/>
    <sheet name="riepilogo" sheetId="3" r:id="rId3"/>
    <sheet name="Collaudi" sheetId="4" r:id="rId4"/>
  </sheets>
  <definedNames>
    <definedName name="a">#REF!</definedName>
    <definedName name="_xlnm.Print_Area" localSheetId="0">'Dati'!$2:$22</definedName>
    <definedName name="_xlnm.Print_Titles" localSheetId="3">'Collaudi'!$1:$1</definedName>
    <definedName name="_xlnm.Print_Titles" localSheetId="0">'Dati'!$B:$F</definedName>
  </definedNames>
  <calcPr fullCalcOnLoad="1"/>
</workbook>
</file>

<file path=xl/comments1.xml><?xml version="1.0" encoding="utf-8"?>
<comments xmlns="http://schemas.openxmlformats.org/spreadsheetml/2006/main">
  <authors>
    <author>sciacovelli</author>
    <author>.</author>
    <author>Dora</author>
    <author>Luca</author>
    <author>nicola</author>
  </authors>
  <commentList>
    <comment ref="BJ13" authorId="0">
      <text>
        <r>
          <rPr>
            <b/>
            <sz val="8"/>
            <rFont val="Tahoma"/>
            <family val="2"/>
          </rPr>
          <t>sciacovelli:</t>
        </r>
        <r>
          <rPr>
            <sz val="8"/>
            <rFont val="Tahoma"/>
            <family val="2"/>
          </rPr>
          <t xml:space="preserve">
inviata a marco e in attesa</t>
        </r>
      </text>
    </comment>
    <comment ref="BJ14" authorId="0">
      <text>
        <r>
          <rPr>
            <b/>
            <sz val="8"/>
            <rFont val="Tahoma"/>
            <family val="2"/>
          </rPr>
          <t>sciacovelli:</t>
        </r>
        <r>
          <rPr>
            <sz val="8"/>
            <rFont val="Tahoma"/>
            <family val="2"/>
          </rPr>
          <t xml:space="preserve">
</t>
        </r>
      </text>
    </comment>
    <comment ref="BJ20" authorId="0">
      <text>
        <r>
          <rPr>
            <b/>
            <sz val="8"/>
            <rFont val="Tahoma"/>
            <family val="2"/>
          </rPr>
          <t>sciacovelli:</t>
        </r>
        <r>
          <rPr>
            <sz val="8"/>
            <rFont val="Tahoma"/>
            <family val="2"/>
          </rPr>
          <t xml:space="preserve">
inviata a marco e in attesa</t>
        </r>
      </text>
    </comment>
    <comment ref="BC14" authorId="0">
      <text>
        <r>
          <rPr>
            <b/>
            <sz val="8"/>
            <rFont val="Tahoma"/>
            <family val="2"/>
          </rPr>
          <t>sostituisce la 1539 del 2-9-05</t>
        </r>
      </text>
    </comment>
    <comment ref="AY13" authorId="0">
      <text>
        <r>
          <rPr>
            <sz val="8"/>
            <rFont val="Tahoma"/>
            <family val="2"/>
          </rPr>
          <t>Era Banca Carime, Filiale di Foggia, Via Trento, 7 - 71100 Foggia, Z / 15700 / 03067</t>
        </r>
      </text>
    </comment>
    <comment ref="E35" authorId="0">
      <text>
        <r>
          <t/>
        </r>
      </text>
    </comment>
    <comment ref="BC39" authorId="0">
      <text>
        <r>
          <rPr>
            <sz val="8"/>
            <rFont val="Tahoma"/>
            <family val="2"/>
          </rPr>
          <t>ex 591/9.6.06 rimandata indietro da ragioneria e ripropposta ex novo con nn/del</t>
        </r>
      </text>
    </comment>
    <comment ref="BC43" authorId="0">
      <text>
        <r>
          <rPr>
            <sz val="8"/>
            <rFont val="Tahoma"/>
            <family val="2"/>
          </rPr>
          <t>ex 591/9.6.06 rimandata indietro da ragioneria e ripropposta ex novo con nn/del</t>
        </r>
      </text>
    </comment>
    <comment ref="AU19" authorId="0">
      <text>
        <r>
          <rPr>
            <sz val="8"/>
            <rFont val="Tahoma"/>
            <family val="2"/>
          </rPr>
          <t>era Dott.Euprepio Marasco</t>
        </r>
      </text>
    </comment>
    <comment ref="BO4" authorId="0">
      <text>
        <r>
          <rPr>
            <sz val="8"/>
            <rFont val="Tahoma"/>
            <family val="2"/>
          </rPr>
          <t>Richiesta proroga 6 mesi il 22.06.06 prot 38/6830 e concessa sino al 07.06.2007
Concessa ulteirore proroga sino al 7/12/07 prot 38/A/1560 del 21/3/07
Concessa ulteriore proroga sino al 07/06/2008</t>
        </r>
      </text>
    </comment>
    <comment ref="BO5" authorId="0">
      <text>
        <r>
          <rPr>
            <sz val="8"/>
            <rFont val="Tahoma"/>
            <family val="2"/>
          </rPr>
          <t>Richiesta proroga 6 mesi il 17.7.2006 prot 38/8175 e concessa sino al 15.06.2007
Concessa ulteriore proroga sino al 15/03/08</t>
        </r>
      </text>
    </comment>
    <comment ref="BO11" authorId="0">
      <text>
        <r>
          <rPr>
            <sz val="8"/>
            <rFont val="Tahoma"/>
            <family val="2"/>
          </rPr>
          <t>Richiesta proroga 6 mesi il 6.7.2006 prot 38/7635 e concessa sino al 24.05.2007, poi fino al 24/12/2007 e poi sino al 24/06/2008</t>
        </r>
      </text>
    </comment>
    <comment ref="BO7" authorId="0">
      <text>
        <r>
          <rPr>
            <sz val="8"/>
            <rFont val="Tahoma"/>
            <family val="2"/>
          </rPr>
          <t>richiesta per 12 mesi il 23-10-06 prot 0713 e concessa per 9 mesi sino al 21.12.07
concessa proroga al 21/06/2008</t>
        </r>
      </text>
    </comment>
    <comment ref="BO16" authorId="1">
      <text>
        <r>
          <rPr>
            <sz val="8"/>
            <rFont val="Tahoma"/>
            <family val="2"/>
          </rPr>
          <t xml:space="preserve">concessa proroga di 9 mesi 07/12/06 prot 1522
richiesta proroga di 4 mesi il 27/12/2006 data fine 30/04/07
</t>
        </r>
      </text>
    </comment>
    <comment ref="BO12" authorId="0">
      <text>
        <r>
          <rPr>
            <sz val="8"/>
            <rFont val="Tahoma"/>
            <family val="2"/>
          </rPr>
          <t>concessa proroga 12 mesi sino al 24/07/2007.
concessa ulteriore proroga di 11 mesi sino al 24/06/08
richiesta e concessa altra proroga sino al 24/09/2008</t>
        </r>
      </text>
    </comment>
    <comment ref="BO18" authorId="0">
      <text>
        <r>
          <rPr>
            <sz val="8"/>
            <rFont val="Tahoma"/>
            <family val="2"/>
          </rPr>
          <t xml:space="preserve">concessaproroga 6 mesi al 01/07/2007. concessione di 12 mesi al 31.10.07
Ulteriore proroga al 30-9-08
</t>
        </r>
      </text>
    </comment>
    <comment ref="Y14" authorId="0">
      <text>
        <r>
          <rPr>
            <b/>
            <sz val="8"/>
            <rFont val="Tahoma"/>
            <family val="2"/>
          </rPr>
          <t xml:space="preserve">corrisp al 40% della spesa totale
</t>
        </r>
      </text>
    </comment>
    <comment ref="BO10" authorId="0">
      <text>
        <r>
          <rPr>
            <sz val="8"/>
            <rFont val="Tahoma"/>
            <family val="2"/>
          </rPr>
          <t>concessa pror 9 mesi con sacdenza 15/03/2008
ulteriore proroga al 30/09/2008
ulteriore al 31.10.08</t>
        </r>
      </text>
    </comment>
    <comment ref="CI26" authorId="2">
      <text>
        <r>
          <rPr>
            <sz val="8"/>
            <rFont val="Tahoma"/>
            <family val="2"/>
          </rPr>
          <t>Reversale di incasso di Lecce e non di pagamento del Ministero</t>
        </r>
      </text>
    </comment>
    <comment ref="BC75" authorId="0">
      <text>
        <r>
          <rPr>
            <sz val="8"/>
            <rFont val="Tahoma"/>
            <family val="2"/>
          </rPr>
          <t>sostituisce la 136 del 22.5.07 tornata indietro dalla ragioneria</t>
        </r>
      </text>
    </comment>
    <comment ref="BC76" authorId="0">
      <text>
        <r>
          <rPr>
            <sz val="8"/>
            <rFont val="Tahoma"/>
            <family val="2"/>
          </rPr>
          <t>sostituisce la 137 del 22.5.07 tornata indietro dalla ragioneria</t>
        </r>
      </text>
    </comment>
    <comment ref="BO17" authorId="0">
      <text>
        <r>
          <rPr>
            <sz val="8"/>
            <rFont val="Tahoma"/>
            <family val="2"/>
          </rPr>
          <t>chiesta proroga e concessa
concessa ulteriore proroga al 30/09/08</t>
        </r>
      </text>
    </comment>
    <comment ref="BO13" authorId="0">
      <text>
        <r>
          <rPr>
            <sz val="8"/>
            <rFont val="Tahoma"/>
            <family val="2"/>
          </rPr>
          <t>richiesta proroga il 2-5-07 e concessa per 9 mesi sino al 12.12.07
Concessa ult proroga al 12/06/2008 di 6 mesi</t>
        </r>
      </text>
    </comment>
    <comment ref="H18" authorId="0">
      <text>
        <r>
          <rPr>
            <sz val="8"/>
            <rFont val="Tahoma"/>
            <family val="2"/>
          </rPr>
          <t>ribasso d'asta di 10.000€ + 2.000 di IVA</t>
        </r>
      </text>
    </comment>
    <comment ref="BA20" authorId="0">
      <text>
        <r>
          <rPr>
            <sz val="8"/>
            <rFont val="Tahoma"/>
            <family val="2"/>
          </rPr>
          <t>era I0207</t>
        </r>
      </text>
    </comment>
    <comment ref="BO6" authorId="0">
      <text>
        <r>
          <rPr>
            <sz val="8"/>
            <rFont val="Tahoma"/>
            <family val="2"/>
          </rPr>
          <t>richiesta proroga il 28.8.07 e concessa per 5 mesi
Concessa ulkterioreo proroga al 31.10.08</t>
        </r>
      </text>
    </comment>
    <comment ref="BO19" authorId="0">
      <text>
        <r>
          <rPr>
            <sz val="8"/>
            <rFont val="Tahoma"/>
            <family val="2"/>
          </rPr>
          <t>richiesta proroga il 31.7.07 e concessa per 6 mesi</t>
        </r>
      </text>
    </comment>
    <comment ref="BO3" authorId="0">
      <text>
        <r>
          <rPr>
            <sz val="8"/>
            <rFont val="Tahoma"/>
            <family val="2"/>
          </rPr>
          <t>richiesta proroga il 31.7.07 e concessa per 6 mesi.
Concessa ulteriore proroga di 1 mese 
concessa ulteriore proroga al 30/09/08</t>
        </r>
      </text>
    </comment>
    <comment ref="BO15" authorId="0">
      <text>
        <r>
          <rPr>
            <sz val="8"/>
            <rFont val="Tahoma"/>
            <family val="2"/>
          </rPr>
          <t>richiesta proroga il 10/10/07 e concessa per 8 mesi.
Concessa ulteriore proroga</t>
        </r>
      </text>
    </comment>
    <comment ref="BO39" authorId="0">
      <text>
        <r>
          <rPr>
            <sz val="8"/>
            <rFont val="Tahoma"/>
            <family val="2"/>
          </rPr>
          <t>richiesta proroga prot.284202 del 23/10/2007 in atti al 6708 del 25/10/2007 e concessa per 5 mesi sino al 19/09/2007</t>
        </r>
        <r>
          <rPr>
            <sz val="8"/>
            <rFont val="Tahoma"/>
            <family val="2"/>
          </rPr>
          <t xml:space="preserve">
</t>
        </r>
      </text>
    </comment>
    <comment ref="F7" authorId="0">
      <text>
        <r>
          <rPr>
            <sz val="8"/>
            <rFont val="Tahoma"/>
            <family val="2"/>
          </rPr>
          <t>Attesa rendicontaz per il 21.12 prima di concedere la proroga che hanno richiesto. Dopo il 21.12 scatta revoca</t>
        </r>
      </text>
    </comment>
    <comment ref="F8" authorId="0">
      <text>
        <r>
          <rPr>
            <sz val="8"/>
            <rFont val="Tahoma"/>
            <family val="2"/>
          </rPr>
          <t xml:space="preserve">parlato con piacquaddio. Aspetto di parlare con Barbaro. Devon fare richiesta proroga e una rendicontazione. Sal tecnici niente. Procedere con revoca
</t>
        </r>
      </text>
    </comment>
    <comment ref="F9" authorId="0">
      <text>
        <r>
          <rPr>
            <sz val="8"/>
            <rFont val="Tahoma"/>
            <family val="2"/>
          </rPr>
          <t>15.11 chiamare longo. Devono fare richiesta proroga e mandare cartaceo della rendicontaz.</t>
        </r>
      </text>
    </comment>
    <comment ref="F10" authorId="0">
      <text>
        <r>
          <rPr>
            <sz val="8"/>
            <rFont val="Tahoma"/>
            <family val="2"/>
          </rPr>
          <t xml:space="preserve">mandare cartaceo rendicontazione
</t>
        </r>
      </text>
    </comment>
    <comment ref="F11" authorId="0">
      <text>
        <r>
          <rPr>
            <sz val="8"/>
            <rFont val="Tahoma"/>
            <family val="2"/>
          </rPr>
          <t>in arrivo richiesta proroga</t>
        </r>
      </text>
    </comment>
    <comment ref="F4" authorId="0">
      <text>
        <r>
          <rPr>
            <sz val="8"/>
            <rFont val="Tahoma"/>
            <family val="2"/>
          </rPr>
          <t xml:space="preserve">in arrivo richiesta proroga
</t>
        </r>
      </text>
    </comment>
    <comment ref="F14" authorId="0">
      <text>
        <r>
          <rPr>
            <sz val="8"/>
            <rFont val="Tahoma"/>
            <family val="2"/>
          </rPr>
          <t xml:space="preserve">hanno inviato rend via mir e manderanno il cartaceo tra il 19-23/11/07
</t>
        </r>
      </text>
    </comment>
    <comment ref="F17" authorId="0">
      <text>
        <r>
          <rPr>
            <sz val="8"/>
            <rFont val="Tahoma"/>
            <family val="2"/>
          </rPr>
          <t xml:space="preserve">preparare determina luiquidazione
</t>
        </r>
      </text>
    </comment>
    <comment ref="F16" authorId="0">
      <text>
        <r>
          <rPr>
            <sz val="8"/>
            <rFont val="Tahoma"/>
            <family val="2"/>
          </rPr>
          <t xml:space="preserve">preparare determina liquidazi
</t>
        </r>
      </text>
    </comment>
    <comment ref="F19" authorId="0">
      <text>
        <r>
          <rPr>
            <sz val="8"/>
            <rFont val="Tahoma"/>
            <family val="2"/>
          </rPr>
          <t xml:space="preserve">nessuna rendic avviso di revoca
</t>
        </r>
      </text>
    </comment>
    <comment ref="F3" authorId="0">
      <text>
        <r>
          <rPr>
            <sz val="8"/>
            <rFont val="Tahoma"/>
            <family val="2"/>
          </rPr>
          <t xml:space="preserve">ancora nessuna rendicontazione. Preavviso di revoca
</t>
        </r>
      </text>
    </comment>
    <comment ref="F6" authorId="0">
      <text>
        <r>
          <rPr>
            <sz val="8"/>
            <rFont val="Tahoma"/>
            <family val="2"/>
          </rPr>
          <t xml:space="preserve">parlato con coppola. Entro fine dic devono prep una rendicontazione
</t>
        </r>
      </text>
    </comment>
    <comment ref="BO78" authorId="0">
      <text>
        <r>
          <rPr>
            <sz val="8"/>
            <rFont val="Tahoma"/>
            <family val="2"/>
          </rPr>
          <t>prima della prossima liquidazione devono trasmettre il nuovo progetto definitivo con tempi conguente con la fine a sett. 2008. Attualm il progetto è in 18 mesi con avvio a 3.9.07 e non può essere.</t>
        </r>
      </text>
    </comment>
    <comment ref="CN16" authorId="0">
      <text>
        <r>
          <rPr>
            <b/>
            <sz val="8"/>
            <rFont val="Tahoma"/>
            <family val="2"/>
          </rPr>
          <t>sciacovelli:</t>
        </r>
        <r>
          <rPr>
            <sz val="8"/>
            <rFont val="Tahoma"/>
            <family val="2"/>
          </rPr>
          <t xml:space="preserve">
pagato sino al 95% del contributo</t>
        </r>
      </text>
    </comment>
    <comment ref="BO9" authorId="0">
      <text>
        <r>
          <rPr>
            <b/>
            <sz val="8"/>
            <rFont val="Tahoma"/>
            <family val="2"/>
          </rPr>
          <t>sciacovelli:</t>
        </r>
        <r>
          <rPr>
            <sz val="8"/>
            <rFont val="Tahoma"/>
            <family val="2"/>
          </rPr>
          <t xml:space="preserve">
errata convenz messi 24 mesi
concessa proroga al 31.10.08</t>
        </r>
      </text>
    </comment>
    <comment ref="O12" authorId="0">
      <text>
        <r>
          <rPr>
            <sz val="8"/>
            <rFont val="Tahoma"/>
            <family val="2"/>
          </rPr>
          <t>economie + rimodulazione non concessa</t>
        </r>
        <r>
          <rPr>
            <sz val="8"/>
            <rFont val="Tahoma"/>
            <family val="2"/>
          </rPr>
          <t xml:space="preserve">
+economia</t>
        </r>
      </text>
    </comment>
    <comment ref="BO43" authorId="2">
      <text>
        <r>
          <rPr>
            <sz val="8"/>
            <rFont val="Tahoma"/>
            <family val="2"/>
          </rPr>
          <t>richiesta proroga il 29/11/2007 e concessa per 26 gg.</t>
        </r>
      </text>
    </comment>
    <comment ref="BO14" authorId="0">
      <text>
        <r>
          <rPr>
            <sz val="8"/>
            <rFont val="Tahoma"/>
            <family val="2"/>
          </rPr>
          <t xml:space="preserve">richiesta proroga il 11/02/08 e concessa sino al 30/06/08
Richesta ulteriore proroga e concessa sino al 30-10-08
</t>
        </r>
      </text>
    </comment>
    <comment ref="BO45" authorId="0">
      <text>
        <r>
          <rPr>
            <sz val="8"/>
            <rFont val="Tahoma"/>
            <family val="2"/>
          </rPr>
          <t>richiesta proroga il 30/11/2007 e concessa sino al 30/09/2008</t>
        </r>
      </text>
    </comment>
    <comment ref="BO48" authorId="0">
      <text>
        <r>
          <rPr>
            <b/>
            <sz val="8"/>
            <rFont val="Tahoma"/>
            <family val="2"/>
          </rPr>
          <t xml:space="preserve">concessa proroga
</t>
        </r>
      </text>
    </comment>
    <comment ref="K5" authorId="0">
      <text>
        <r>
          <rPr>
            <sz val="8"/>
            <rFont val="Tahoma"/>
            <family val="2"/>
          </rPr>
          <t>il soggetto privato ha rinunciato al cofinanaziamento di 30.000 euro che ora diventano 0 euro</t>
        </r>
      </text>
    </comment>
    <comment ref="BO44" authorId="0">
      <text>
        <r>
          <rPr>
            <sz val="8"/>
            <rFont val="Tahoma"/>
            <family val="2"/>
          </rPr>
          <t>concessa proroga al 30/10/2008</t>
        </r>
      </text>
    </comment>
    <comment ref="BO20" authorId="0">
      <text>
        <r>
          <rPr>
            <sz val="8"/>
            <rFont val="Tahoma"/>
            <family val="2"/>
          </rPr>
          <t>concessa prima proroga 12 mesi
concessa ulteriore proroga richiesta il 6.5.2008 sino al 21/09/2008
concessa III proroga al 30.10.08</t>
        </r>
      </text>
    </comment>
    <comment ref="BN74" authorId="0">
      <text>
        <r>
          <rPr>
            <sz val="8"/>
            <rFont val="Tahoma"/>
            <family val="2"/>
          </rPr>
          <t>nota prot 60230 del 10.5.07 in atti prot 3170 -23-5-07</t>
        </r>
      </text>
    </comment>
    <comment ref="BO75" authorId="0">
      <text>
        <r>
          <rPr>
            <sz val="8"/>
            <rFont val="Tahoma"/>
            <family val="2"/>
          </rPr>
          <t>richiesta proroga e concessa al 30-9-08</t>
        </r>
      </text>
    </comment>
    <comment ref="E36" authorId="0">
      <text>
        <r>
          <t/>
        </r>
      </text>
    </comment>
    <comment ref="CG68" authorId="0">
      <text>
        <r>
          <rPr>
            <b/>
            <sz val="8"/>
            <rFont val="Tahoma"/>
            <family val="2"/>
          </rPr>
          <t>sciacovelli:</t>
        </r>
        <r>
          <rPr>
            <sz val="8"/>
            <rFont val="Tahoma"/>
            <family val="2"/>
          </rPr>
          <t xml:space="preserve">
annulata la 132 del 15/05/08 per errori sui capitoli e sostituita con questa</t>
        </r>
      </text>
    </comment>
    <comment ref="BO35" authorId="0">
      <text>
        <r>
          <rPr>
            <sz val="8"/>
            <rFont val="Tahoma"/>
            <family val="2"/>
          </rPr>
          <t>concesse due proroghe sino al 30/10/2008</t>
        </r>
      </text>
    </comment>
    <comment ref="BO37" authorId="0">
      <text>
        <r>
          <rPr>
            <sz val="8"/>
            <rFont val="Tahoma"/>
            <family val="2"/>
          </rPr>
          <t>concessa proroga al 30/10/08</t>
        </r>
      </text>
    </comment>
    <comment ref="BO46" authorId="0">
      <text>
        <r>
          <rPr>
            <sz val="8"/>
            <rFont val="Tahoma"/>
            <family val="2"/>
          </rPr>
          <t>Data proroga al 31.10.08 con prot 5908 del 28/08/08</t>
        </r>
      </text>
    </comment>
    <comment ref="BO80" authorId="0">
      <text>
        <r>
          <rPr>
            <sz val="8"/>
            <rFont val="Tahoma"/>
            <family val="2"/>
          </rPr>
          <t>Richiesta e concessa proroga</t>
        </r>
      </text>
    </comment>
    <comment ref="BO81" authorId="0">
      <text>
        <r>
          <rPr>
            <sz val="8"/>
            <rFont val="Tahoma"/>
            <family val="2"/>
          </rPr>
          <t>concessa proroga al 10.11.08</t>
        </r>
      </text>
    </comment>
    <comment ref="CL18" authorId="3">
      <text>
        <r>
          <rPr>
            <sz val="8"/>
            <rFont val="Tahoma"/>
            <family val="2"/>
          </rPr>
          <t>erroneamente considerata la somma anche della precedente spesa=168.931,18</t>
        </r>
      </text>
    </comment>
    <comment ref="DZ10" authorId="0">
      <text>
        <r>
          <rPr>
            <b/>
            <sz val="8"/>
            <rFont val="Tahoma"/>
            <family val="0"/>
          </rPr>
          <t xml:space="preserve">CONGUAGLIO SU SPESA AMMESSA E DA TOGLIERE SULLA ii RENDICONT. IL CONTRIBUTO è STATO GIA TOLTO ALLA V SAL
</t>
        </r>
      </text>
    </comment>
    <comment ref="EB10" authorId="0">
      <text>
        <r>
          <rPr>
            <sz val="8"/>
            <rFont val="Tahoma"/>
            <family val="2"/>
          </rPr>
          <t>la quota di contributo sui 7350 a conguaglio è gia stata tolta al V SAL</t>
        </r>
      </text>
    </comment>
    <comment ref="CX12" authorId="0">
      <text>
        <r>
          <rPr>
            <b/>
            <sz val="8"/>
            <rFont val="Tahoma"/>
            <family val="0"/>
          </rPr>
          <t>95%</t>
        </r>
      </text>
    </comment>
    <comment ref="DH48" authorId="0">
      <text>
        <r>
          <rPr>
            <b/>
            <sz val="8"/>
            <rFont val="Tahoma"/>
            <family val="0"/>
          </rPr>
          <t>95%</t>
        </r>
      </text>
    </comment>
    <comment ref="EB15" authorId="4">
      <text>
        <r>
          <rPr>
            <b/>
            <sz val="8"/>
            <rFont val="Tahoma"/>
            <family val="2"/>
          </rPr>
          <t>95%</t>
        </r>
      </text>
    </comment>
    <comment ref="DR15" authorId="4">
      <text>
        <r>
          <rPr>
            <b/>
            <sz val="8"/>
            <rFont val="Tahoma"/>
            <family val="2"/>
          </rPr>
          <t>arriva cosi a 95%</t>
        </r>
      </text>
    </comment>
    <comment ref="CQ74" authorId="0">
      <text>
        <r>
          <rPr>
            <sz val="8"/>
            <rFont val="Tahoma"/>
            <family val="2"/>
          </rPr>
          <t>era la 584 del 24/11/08 rifatta per errore ragioneria</t>
        </r>
      </text>
    </comment>
    <comment ref="CQ75" authorId="0">
      <text>
        <r>
          <rPr>
            <sz val="8"/>
            <rFont val="Tahoma"/>
            <family val="2"/>
          </rPr>
          <t>era la 584 del 24/11/08 rifatta per errore ragioneria</t>
        </r>
      </text>
    </comment>
    <comment ref="BA43" authorId="4">
      <text>
        <r>
          <rPr>
            <sz val="8"/>
            <rFont val="Tahoma"/>
            <family val="2"/>
          </rPr>
          <t>era IT60K0100003245434300064081</t>
        </r>
      </text>
    </comment>
    <comment ref="S8" authorId="0">
      <text>
        <r>
          <rPr>
            <b/>
            <sz val="8"/>
            <rFont val="Tahoma"/>
            <family val="0"/>
          </rPr>
          <t>sciacovelli:</t>
        </r>
        <r>
          <rPr>
            <sz val="8"/>
            <rFont val="Tahoma"/>
            <family val="0"/>
          </rPr>
          <t xml:space="preserve">
disimpegnati solo sino a 
447.365,37 fare altro disimpegno ulteriore al MIR</t>
        </r>
      </text>
    </comment>
    <comment ref="EB14" authorId="0">
      <text>
        <r>
          <rPr>
            <b/>
            <sz val="8"/>
            <rFont val="Tahoma"/>
            <family val="0"/>
          </rPr>
          <t>95%</t>
        </r>
      </text>
    </comment>
    <comment ref="DH41" authorId="0">
      <text>
        <r>
          <rPr>
            <b/>
            <sz val="8"/>
            <rFont val="Tahoma"/>
            <family val="0"/>
          </rPr>
          <t>95%</t>
        </r>
      </text>
    </comment>
    <comment ref="BC71" authorId="0">
      <text>
        <r>
          <rPr>
            <sz val="8"/>
            <rFont val="Tahoma"/>
            <family val="2"/>
          </rPr>
          <t>era la 67 del 6/2/09 restituita</t>
        </r>
      </text>
    </comment>
    <comment ref="CG66" authorId="0">
      <text>
        <r>
          <rPr>
            <sz val="8"/>
            <rFont val="Tahoma"/>
            <family val="2"/>
          </rPr>
          <t>era la 68</t>
        </r>
      </text>
    </comment>
    <comment ref="BC66" authorId="0">
      <text>
        <r>
          <rPr>
            <sz val="8"/>
            <rFont val="Tahoma"/>
            <family val="2"/>
          </rPr>
          <t>era la 68</t>
        </r>
      </text>
    </comment>
    <comment ref="DZ9" authorId="0">
      <text>
        <r>
          <rPr>
            <sz val="8"/>
            <rFont val="Tahoma"/>
            <family val="2"/>
          </rPr>
          <t xml:space="preserve">conguaglio pererrore al 4 rendiconto
</t>
        </r>
      </text>
    </comment>
    <comment ref="DF12" authorId="0">
      <text>
        <r>
          <rPr>
            <sz val="8"/>
            <rFont val="Tahoma"/>
            <family val="2"/>
          </rPr>
          <t>rimessi i sispesi precedenti</t>
        </r>
      </text>
    </comment>
    <comment ref="DZ13" authorId="0">
      <text>
        <r>
          <rPr>
            <sz val="8"/>
            <rFont val="Tahoma"/>
            <family val="2"/>
          </rPr>
          <t>aggiungere 1353,01 di spesa prima sospesa</t>
        </r>
      </text>
    </comment>
    <comment ref="ET9" authorId="0">
      <text>
        <r>
          <rPr>
            <b/>
            <sz val="8"/>
            <rFont val="Tahoma"/>
            <family val="0"/>
          </rPr>
          <t xml:space="preserve">+VIII approvata + IX rendic da approvare
-50000 dei sospesi gia liquidati
</t>
        </r>
      </text>
    </comment>
    <comment ref="DU50" authorId="0">
      <text>
        <r>
          <rPr>
            <b/>
            <sz val="8"/>
            <rFont val="Tahoma"/>
            <family val="0"/>
          </rPr>
          <t>sostituisce la 257 del 30/05/09</t>
        </r>
      </text>
    </comment>
    <comment ref="EB17" authorId="4">
      <text>
        <r>
          <rPr>
            <b/>
            <sz val="8"/>
            <rFont val="Tahoma"/>
            <family val="2"/>
          </rPr>
          <t>95%</t>
        </r>
      </text>
    </comment>
    <comment ref="DZ50" authorId="0">
      <text>
        <r>
          <rPr>
            <b/>
            <sz val="8"/>
            <rFont val="Tahoma"/>
            <family val="0"/>
          </rPr>
          <t>tolti i 137 revocati</t>
        </r>
      </text>
    </comment>
    <comment ref="CG83" authorId="0">
      <text>
        <r>
          <rPr>
            <sz val="8"/>
            <rFont val="Tahoma"/>
            <family val="2"/>
          </rPr>
          <t>sostiuisce la 548 del 11.9.09 restituita</t>
        </r>
      </text>
    </comment>
    <comment ref="CB9" authorId="0">
      <text>
        <r>
          <rPr>
            <sz val="8"/>
            <rFont val="Tahoma"/>
            <family val="2"/>
          </rPr>
          <t>rettifica per 800 euro dei pagamenti effettuati</t>
        </r>
      </text>
    </comment>
    <comment ref="DF35" authorId="0">
      <text>
        <r>
          <rPr>
            <sz val="8"/>
            <rFont val="Tahoma"/>
            <family val="0"/>
          </rPr>
          <t xml:space="preserve">tolti pagamenti revocati
</t>
        </r>
      </text>
    </comment>
    <comment ref="EJ14" authorId="0">
      <text>
        <r>
          <rPr>
            <sz val="8"/>
            <rFont val="Tahoma"/>
            <family val="2"/>
          </rPr>
          <t>approvato salvo successiva verifica documentale</t>
        </r>
      </text>
    </comment>
    <comment ref="CL82" authorId="0">
      <text>
        <r>
          <rPr>
            <sz val="8"/>
            <rFont val="Tahoma"/>
            <family val="2"/>
          </rPr>
          <t>approvato salvo successiva verifica documentale</t>
        </r>
      </text>
    </comment>
    <comment ref="CB78" authorId="0">
      <text>
        <r>
          <rPr>
            <sz val="8"/>
            <rFont val="Tahoma"/>
            <family val="2"/>
          </rPr>
          <t>approvato salvo verifica sperimentale</t>
        </r>
      </text>
    </comment>
    <comment ref="CB38" authorId="0">
      <text>
        <r>
          <rPr>
            <sz val="8"/>
            <rFont val="Tahoma"/>
            <family val="2"/>
          </rPr>
          <t>approvato salvo verifica documentale</t>
        </r>
      </text>
    </comment>
  </commentList>
</comments>
</file>

<file path=xl/comments4.xml><?xml version="1.0" encoding="utf-8"?>
<comments xmlns="http://schemas.openxmlformats.org/spreadsheetml/2006/main">
  <authors>
    <author>Nicola</author>
    <author>sciacovelli</author>
    <author>.</author>
    <author>Regione Puglia</author>
  </authors>
  <commentList>
    <comment ref="G18" authorId="0">
      <text>
        <r>
          <rPr>
            <b/>
            <sz val="8"/>
            <rFont val="Tahoma"/>
            <family val="0"/>
          </rPr>
          <t>già Fabrizio Nardoni</t>
        </r>
      </text>
    </comment>
    <comment ref="G21" authorId="1">
      <text>
        <r>
          <rPr>
            <sz val="8"/>
            <rFont val="Tahoma"/>
            <family val="2"/>
          </rPr>
          <t>Era Luigi Sansò</t>
        </r>
      </text>
    </comment>
    <comment ref="G17" authorId="1">
      <text>
        <r>
          <rPr>
            <sz val="8"/>
            <rFont val="Tahoma"/>
            <family val="2"/>
          </rPr>
          <t>Era Raffaele Carucci</t>
        </r>
      </text>
    </comment>
    <comment ref="G8" authorId="1">
      <text>
        <r>
          <rPr>
            <sz val="8"/>
            <rFont val="Tahoma"/>
            <family val="2"/>
          </rPr>
          <t>Era Raffaele Carucci</t>
        </r>
      </text>
    </comment>
    <comment ref="O10" authorId="2">
      <text>
        <r>
          <rPr>
            <b/>
            <sz val="8"/>
            <rFont val="Tahoma"/>
            <family val="0"/>
          </rPr>
          <t>.:</t>
        </r>
        <r>
          <rPr>
            <sz val="8"/>
            <rFont val="Tahoma"/>
            <family val="0"/>
          </rPr>
          <t xml:space="preserve">
concessa proroga fino al 10/11/07
</t>
        </r>
      </text>
    </comment>
    <comment ref="P10" authorId="2">
      <text>
        <r>
          <rPr>
            <b/>
            <sz val="8"/>
            <rFont val="Tahoma"/>
            <family val="0"/>
          </rPr>
          <t>.:</t>
        </r>
        <r>
          <rPr>
            <sz val="8"/>
            <rFont val="Tahoma"/>
            <family val="0"/>
          </rPr>
          <t xml:space="preserve">
concessa ulteriore proroga di 20 gg concessa il 10,10,08
</t>
        </r>
      </text>
    </comment>
    <comment ref="O18" authorId="1">
      <text>
        <r>
          <rPr>
            <sz val="8"/>
            <rFont val="Tahoma"/>
            <family val="2"/>
          </rPr>
          <t>richiesta proroga il 9.8.06 al prot 38/9490 e concessa per 6 mesi sino al 29/10/2007
concessa variazione cronprogramma di 5 mesi a 35 mese + proroga</t>
        </r>
      </text>
    </comment>
    <comment ref="P18" authorId="1">
      <text>
        <r>
          <t/>
        </r>
      </text>
    </comment>
    <comment ref="P21" authorId="1">
      <text>
        <r>
          <rPr>
            <sz val="8"/>
            <rFont val="Tahoma"/>
            <family val="2"/>
          </rPr>
          <t>richiesta proroga il 31.7.07 e concessa per 6 mesi</t>
        </r>
      </text>
    </comment>
    <comment ref="O20" authorId="1">
      <text>
        <r>
          <rPr>
            <sz val="8"/>
            <rFont val="Tahoma"/>
            <family val="2"/>
          </rPr>
          <t>richiesta proroga 29-3-06 ns, prot 2837</t>
        </r>
      </text>
    </comment>
    <comment ref="P20" authorId="1">
      <text>
        <r>
          <rPr>
            <sz val="8"/>
            <rFont val="Tahoma"/>
            <family val="2"/>
          </rPr>
          <t>fatta variazione del progetto da 24 a 36 mesi e data proroga di 6 mesi con nota 0798 del 31/10/06</t>
        </r>
      </text>
    </comment>
    <comment ref="P17" authorId="1">
      <text>
        <r>
          <rPr>
            <sz val="8"/>
            <rFont val="Tahoma"/>
            <family val="2"/>
          </rPr>
          <t>richiesta proroga il 2-10-06 e concessa per 30+6 mesi a finire il 1-9-07</t>
        </r>
      </text>
    </comment>
    <comment ref="O8" authorId="3">
      <text>
        <r>
          <rPr>
            <sz val="8"/>
            <rFont val="Tahoma"/>
            <family val="0"/>
          </rPr>
          <t>non concessa proroga su richiesta 15/05/06 in attesa di prima rendicontazione. Concessa proroga al 2-5-07 in data 21-7-06 dopo presentazione rendicontazione</t>
        </r>
      </text>
    </comment>
    <comment ref="P8" authorId="1">
      <text>
        <r>
          <rPr>
            <sz val="8"/>
            <rFont val="Tahoma"/>
            <family val="2"/>
          </rPr>
          <t>richiesta proroga e concessa per sei mesi</t>
        </r>
      </text>
    </comment>
    <comment ref="O13" authorId="1">
      <text>
        <r>
          <rPr>
            <sz val="8"/>
            <rFont val="Tahoma"/>
            <family val="0"/>
          </rPr>
          <t xml:space="preserve">manca ma inserita nel Sal
</t>
        </r>
      </text>
    </comment>
    <comment ref="P13" authorId="1">
      <text>
        <r>
          <rPr>
            <sz val="8"/>
            <rFont val="Tahoma"/>
            <family val="2"/>
          </rPr>
          <t xml:space="preserve">Richiesta proroga il 3-10-06. Concessa con nota del 17/10/2006 di 6 mesi con termine il 10-5-07
</t>
        </r>
      </text>
    </comment>
    <comment ref="O23" authorId="3">
      <text>
        <r>
          <rPr>
            <b/>
            <sz val="8"/>
            <rFont val="Tahoma"/>
            <family val="0"/>
          </rPr>
          <t>Regione Puglia:</t>
        </r>
        <r>
          <rPr>
            <sz val="8"/>
            <rFont val="Tahoma"/>
            <family val="0"/>
          </rPr>
          <t xml:space="preserve">
Richiesta proroga in data 06/04/2006
concessa con silenzio assenso</t>
        </r>
      </text>
    </comment>
    <comment ref="P22" authorId="0">
      <text>
        <r>
          <rPr>
            <sz val="8"/>
            <rFont val="Tahoma"/>
            <family val="2"/>
          </rPr>
          <t>Richiesta proroga il 2.2.07 e concessa per 6 mesi al prot 2106 del 12.4.07 sino al 01.12.07</t>
        </r>
      </text>
    </comment>
    <comment ref="P4" authorId="3">
      <text>
        <r>
          <rPr>
            <sz val="8"/>
            <rFont val="Tahoma"/>
            <family val="2"/>
          </rPr>
          <t xml:space="preserve">Effettuata rimodulazione del pe da 12 mesi a 18 mesi. Concessa proroga di sei mesi sino al 21/01/2007 + proroga straordinaria di ulteriori 2 mesi sino al 30/03/2007
</t>
        </r>
      </text>
    </comment>
    <comment ref="P5" authorId="1">
      <text>
        <r>
          <rPr>
            <sz val="8"/>
            <rFont val="Tahoma"/>
            <family val="2"/>
          </rPr>
          <t xml:space="preserve">Cheista proroga di 6 mesi il 7/2/06 prot. 38/1562 e concessa il 23.3.06 prot 38/2543 sino al 23.5.07
</t>
        </r>
      </text>
    </comment>
    <comment ref="P16" authorId="1">
      <text>
        <r>
          <rPr>
            <sz val="8"/>
            <rFont val="Tahoma"/>
            <family val="2"/>
          </rPr>
          <t>Concessa proroga di 6 mesi  prot 3719 del 18/06/2007</t>
        </r>
      </text>
    </comment>
    <comment ref="P12" authorId="2">
      <text>
        <r>
          <rPr>
            <b/>
            <sz val="8"/>
            <rFont val="Tahoma"/>
            <family val="0"/>
          </rPr>
          <t>.:</t>
        </r>
        <r>
          <rPr>
            <sz val="8"/>
            <rFont val="Tahoma"/>
            <family val="0"/>
          </rPr>
          <t xml:space="preserve">
proroga di 6 mesi richiesta in atti al 38/A1235 del 23/11/06 e concessa sino al 31/09/2007
concessi ulteriori 3 mesi su richiesta del 11,09,07</t>
        </r>
      </text>
    </comment>
    <comment ref="O14" authorId="1">
      <text>
        <r>
          <rPr>
            <b/>
            <sz val="8"/>
            <rFont val="Tahoma"/>
            <family val="0"/>
          </rPr>
          <t xml:space="preserve">era indicato il 17/11/04
</t>
        </r>
      </text>
    </comment>
    <comment ref="P14" authorId="3">
      <text>
        <r>
          <rPr>
            <sz val="8"/>
            <rFont val="Tahoma"/>
            <family val="2"/>
          </rPr>
          <t xml:space="preserve">proroga 6 mesi richiesta il 9.6.06 e concessa sino al 04/08/2007
</t>
        </r>
      </text>
    </comment>
    <comment ref="P9" authorId="1">
      <text>
        <r>
          <rPr>
            <sz val="8"/>
            <rFont val="Tahoma"/>
            <family val="2"/>
          </rPr>
          <t>richiesta il 28/08/06 e concessa per 6 mesi sino al 1-6-07</t>
        </r>
      </text>
    </comment>
    <comment ref="O19" authorId="1">
      <text>
        <r>
          <rPr>
            <b/>
            <sz val="8"/>
            <rFont val="Tahoma"/>
            <family val="0"/>
          </rPr>
          <t>sciacovelli:</t>
        </r>
        <r>
          <rPr>
            <sz val="8"/>
            <rFont val="Tahoma"/>
            <family val="0"/>
          </rPr>
          <t xml:space="preserve">
eichiesta variazione data per refuso informatico</t>
        </r>
      </text>
    </comment>
    <comment ref="P6" authorId="2">
      <text>
        <r>
          <rPr>
            <b/>
            <sz val="8"/>
            <rFont val="Tahoma"/>
            <family val="0"/>
          </rPr>
          <t>.:</t>
        </r>
        <r>
          <rPr>
            <sz val="8"/>
            <rFont val="Tahoma"/>
            <family val="0"/>
          </rPr>
          <t xml:space="preserve">
richiesta e concessa proroga di sei mesi sino al 01/07/2007 </t>
        </r>
      </text>
    </comment>
    <comment ref="P7" authorId="1">
      <text>
        <r>
          <rPr>
            <sz val="8"/>
            <rFont val="Tahoma"/>
            <family val="2"/>
          </rPr>
          <t>Richiesta e concessa proroga di 6 mesi al 26-1-07 + modifica cronoprogramma di 4 mesi sino al 26/05/07.
Con prot.3848 del 21/06/07 viene rettificata la durata per un totale di 27 mesi, quindi sino al 26/10/07.</t>
        </r>
      </text>
    </comment>
    <comment ref="P15" authorId="1">
      <text>
        <r>
          <rPr>
            <sz val="8"/>
            <rFont val="Tahoma"/>
            <family val="2"/>
          </rPr>
          <t>richiesta proroga 6 mesi il 20-10-06 al prot 0927/7-11-06 e concessa per 6 mesi sino al 31-8-07</t>
        </r>
      </text>
    </comment>
    <comment ref="P3" authorId="1">
      <text>
        <r>
          <rPr>
            <sz val="8"/>
            <rFont val="Tahoma"/>
            <family val="0"/>
          </rPr>
          <t>proroga di 6 mesi con richiesta del 5-09-05
variazione cronoprogramma di 9 mesi fine il 31/12/2006</t>
        </r>
      </text>
    </comment>
    <comment ref="P11" authorId="1">
      <text>
        <r>
          <rPr>
            <sz val="8"/>
            <rFont val="Tahoma"/>
            <family val="2"/>
          </rPr>
          <t xml:space="preserve">In convenzione 15 mesi per la partenza in ritardo.
</t>
        </r>
      </text>
    </comment>
    <comment ref="P2" authorId="1">
      <text>
        <r>
          <rPr>
            <b/>
            <sz val="8"/>
            <rFont val="Tahoma"/>
            <family val="0"/>
          </rPr>
          <t>sciacovelli:</t>
        </r>
        <r>
          <rPr>
            <sz val="8"/>
            <rFont val="Tahoma"/>
            <family val="0"/>
          </rPr>
          <t xml:space="preserve">
richiesta proroga 6 mesi</t>
        </r>
      </text>
    </comment>
    <comment ref="P24" authorId="1">
      <text>
        <r>
          <rPr>
            <sz val="8"/>
            <rFont val="Tahoma"/>
            <family val="2"/>
          </rPr>
          <t>concessa proroga 6 mesi prot 983 15/02/07
concessa altra proroga e poi altra al 30/09/08</t>
        </r>
      </text>
    </comment>
    <comment ref="J20" authorId="2">
      <text>
        <r>
          <rPr>
            <b/>
            <sz val="8"/>
            <rFont val="Tahoma"/>
            <family val="0"/>
          </rPr>
          <t>.:</t>
        </r>
        <r>
          <rPr>
            <sz val="8"/>
            <rFont val="Tahoma"/>
            <family val="0"/>
          </rPr>
          <t xml:space="preserve">
era via Junipero Serra, 19</t>
        </r>
      </text>
    </comment>
    <comment ref="J17" authorId="1">
      <text>
        <r>
          <rPr>
            <sz val="8"/>
            <rFont val="Tahoma"/>
            <family val="2"/>
          </rPr>
          <t xml:space="preserve">vecchio indirizzo: Via della Repubblica 71/N 70125 Bari
</t>
        </r>
      </text>
    </comment>
    <comment ref="D2" authorId="1">
      <text>
        <r>
          <rPr>
            <sz val="8"/>
            <rFont val="Tahoma"/>
            <family val="2"/>
          </rPr>
          <t xml:space="preserve">ancora nessuna rendicontazione. Preavviso di revoca
</t>
        </r>
      </text>
    </comment>
    <comment ref="D3" authorId="1">
      <text>
        <r>
          <rPr>
            <sz val="8"/>
            <rFont val="Tahoma"/>
            <family val="2"/>
          </rPr>
          <t xml:space="preserve">ancora nessuna rendicontazione. Preavviso di revoca
</t>
        </r>
      </text>
    </comment>
    <comment ref="D4" authorId="1">
      <text>
        <r>
          <rPr>
            <sz val="8"/>
            <rFont val="Tahoma"/>
            <family val="2"/>
          </rPr>
          <t xml:space="preserve">ancora nessuna rendicontazione. Preavviso di revoca
</t>
        </r>
      </text>
    </comment>
    <comment ref="D5" authorId="1">
      <text>
        <r>
          <rPr>
            <sz val="8"/>
            <rFont val="Tahoma"/>
            <family val="2"/>
          </rPr>
          <t xml:space="preserve">ancora nessuna rendicontazione. Preavviso di revoca
</t>
        </r>
      </text>
    </comment>
    <comment ref="D6" authorId="1">
      <text>
        <r>
          <rPr>
            <sz val="8"/>
            <rFont val="Tahoma"/>
            <family val="2"/>
          </rPr>
          <t xml:space="preserve">ancora nessuna rendicontazione. Preavviso di revoca
</t>
        </r>
      </text>
    </comment>
    <comment ref="D7" authorId="1">
      <text>
        <r>
          <rPr>
            <sz val="8"/>
            <rFont val="Tahoma"/>
            <family val="2"/>
          </rPr>
          <t xml:space="preserve">ancora nessuna rendicontazione. Preavviso di revoca
</t>
        </r>
      </text>
    </comment>
    <comment ref="D8" authorId="1">
      <text>
        <r>
          <rPr>
            <sz val="8"/>
            <rFont val="Tahoma"/>
            <family val="2"/>
          </rPr>
          <t xml:space="preserve">ancora nessuna rendicontazione. Preavviso di revoca
</t>
        </r>
      </text>
    </comment>
    <comment ref="D9" authorId="1">
      <text>
        <r>
          <rPr>
            <sz val="8"/>
            <rFont val="Tahoma"/>
            <family val="2"/>
          </rPr>
          <t xml:space="preserve">ancora nessuna rendicontazione. Preavviso di revoca
</t>
        </r>
      </text>
    </comment>
    <comment ref="D10" authorId="1">
      <text>
        <r>
          <rPr>
            <sz val="8"/>
            <rFont val="Tahoma"/>
            <family val="2"/>
          </rPr>
          <t xml:space="preserve">ancora nessuna rendicontazione. Preavviso di revoca
</t>
        </r>
      </text>
    </comment>
    <comment ref="D11" authorId="1">
      <text>
        <r>
          <rPr>
            <sz val="8"/>
            <rFont val="Tahoma"/>
            <family val="2"/>
          </rPr>
          <t xml:space="preserve">ancora nessuna rendicontazione. Preavviso di revoca
</t>
        </r>
      </text>
    </comment>
    <comment ref="D12" authorId="1">
      <text>
        <r>
          <rPr>
            <sz val="8"/>
            <rFont val="Tahoma"/>
            <family val="2"/>
          </rPr>
          <t xml:space="preserve">ancora nessuna rendicontazione. Preavviso di revoca
</t>
        </r>
      </text>
    </comment>
    <comment ref="D13" authorId="1">
      <text>
        <r>
          <rPr>
            <sz val="8"/>
            <rFont val="Tahoma"/>
            <family val="2"/>
          </rPr>
          <t xml:space="preserve">ancora nessuna rendicontazione. Preavviso di revoca
</t>
        </r>
      </text>
    </comment>
    <comment ref="D14" authorId="1">
      <text>
        <r>
          <rPr>
            <sz val="8"/>
            <rFont val="Tahoma"/>
            <family val="2"/>
          </rPr>
          <t xml:space="preserve">ancora nessuna rendicontazione. Preavviso di revoca
</t>
        </r>
      </text>
    </comment>
    <comment ref="D15" authorId="1">
      <text>
        <r>
          <rPr>
            <sz val="8"/>
            <rFont val="Tahoma"/>
            <family val="2"/>
          </rPr>
          <t xml:space="preserve">ancora nessuna rendicontazione. Preavviso di revoca
</t>
        </r>
      </text>
    </comment>
    <comment ref="D16" authorId="1">
      <text>
        <r>
          <rPr>
            <sz val="8"/>
            <rFont val="Tahoma"/>
            <family val="2"/>
          </rPr>
          <t xml:space="preserve">ancora nessuna rendicontazione. Preavviso di revoca
</t>
        </r>
      </text>
    </comment>
    <comment ref="D17" authorId="1">
      <text>
        <r>
          <rPr>
            <sz val="8"/>
            <rFont val="Tahoma"/>
            <family val="2"/>
          </rPr>
          <t xml:space="preserve">ancora nessuna rendicontazione. Preavviso di revoca
</t>
        </r>
      </text>
    </comment>
    <comment ref="D18" authorId="1">
      <text>
        <r>
          <rPr>
            <sz val="8"/>
            <rFont val="Tahoma"/>
            <family val="2"/>
          </rPr>
          <t xml:space="preserve">ancora nessuna rendicontazione. Preavviso di revoca
</t>
        </r>
      </text>
    </comment>
    <comment ref="D19" authorId="1">
      <text>
        <r>
          <rPr>
            <sz val="8"/>
            <rFont val="Tahoma"/>
            <family val="2"/>
          </rPr>
          <t xml:space="preserve">ancora nessuna rendicontazione. Preavviso di revoca
</t>
        </r>
      </text>
    </comment>
  </commentList>
</comments>
</file>

<file path=xl/sharedStrings.xml><?xml version="1.0" encoding="utf-8"?>
<sst xmlns="http://schemas.openxmlformats.org/spreadsheetml/2006/main" count="2153" uniqueCount="1421">
  <si>
    <t>Repertorio ammissione</t>
  </si>
  <si>
    <t>Inizio lavori</t>
  </si>
  <si>
    <t>Repertorio liquidazione</t>
  </si>
  <si>
    <t>5540/pes056</t>
  </si>
  <si>
    <t>Via Filomeno Consiglio</t>
  </si>
  <si>
    <t>Brindisi, Carovigno, Ceglie Messapica, Cellino S. Marco, Cisternino, Latiano, Mesagne, Oria, Ostuni, San Pancrazio Salentino, San Vito dei Normanni, Torchiarolo, Villa Castelli</t>
  </si>
  <si>
    <t>ok</t>
  </si>
  <si>
    <t>quotaUEstato</t>
  </si>
  <si>
    <t>quota UE</t>
  </si>
  <si>
    <t>Quota Stato</t>
  </si>
  <si>
    <t>Modugno, Bitetto</t>
  </si>
  <si>
    <t>Casarano, Nardò, Acquarica del Capo, Alessano, Alezio, Alliste, Morciano di Leuca, Melissano, Parabita, Racale, Sannicola, Supersano, Taurisano, Taviano, Ugento.</t>
  </si>
  <si>
    <t>tel</t>
  </si>
  <si>
    <t>Fax</t>
  </si>
  <si>
    <t>Br</t>
  </si>
  <si>
    <t>Ba</t>
  </si>
  <si>
    <t>IT24T 01005 16000 000000200200</t>
  </si>
  <si>
    <t>Fg</t>
  </si>
  <si>
    <t>Ta</t>
  </si>
  <si>
    <t>Piazza Ciaia</t>
  </si>
  <si>
    <t>81001370741</t>
  </si>
  <si>
    <t>PORTALE TERRITORIALE INTERCOMUNALE</t>
  </si>
  <si>
    <t>NO</t>
  </si>
  <si>
    <t>21/01/2003</t>
  </si>
  <si>
    <t>90304</t>
  </si>
  <si>
    <t>6603</t>
  </si>
  <si>
    <t>--</t>
  </si>
  <si>
    <t>0832-682212</t>
  </si>
  <si>
    <t>0832-241456</t>
  </si>
  <si>
    <t>RUP</t>
  </si>
  <si>
    <t>Prof. Antonio Esposito</t>
  </si>
  <si>
    <t>e-mail</t>
  </si>
  <si>
    <t>a.esposito@comune.lecce.it</t>
  </si>
  <si>
    <t>schede finali e progetti\16_Lecce\lettera richiesta integrazioni.doc</t>
  </si>
  <si>
    <t>5341</t>
  </si>
  <si>
    <t>3435</t>
  </si>
  <si>
    <t>ITER-Net - SISTEMA SALENTO NELLA S.I.</t>
  </si>
  <si>
    <t>Manduria, Erchie, Lizzano, Torre Santa Susanna</t>
  </si>
  <si>
    <t>IT13L 03067 78440 000000010152</t>
  </si>
  <si>
    <t>Cannole, Carmiano, Carpignano Salentino, Castrignano Dei Greci, Cavallino, Cursi, Galatina, Giuggianello,  Giurdignano, Maglie, Martano, Martignano, Matino, Melpignano, Muro Leccese, Neviano, Nociglia, Palmariggi, Poggiardo, Sanarica, Sogliano Cavour, Surano</t>
  </si>
  <si>
    <t>19861</t>
  </si>
  <si>
    <t>6604</t>
  </si>
  <si>
    <t>1730</t>
  </si>
  <si>
    <t>83000390753</t>
  </si>
  <si>
    <t>P.zza A. Moro</t>
  </si>
  <si>
    <t>0836-484256</t>
  </si>
  <si>
    <t>0836-489260</t>
  </si>
  <si>
    <t>Alessandro Caggiula</t>
  </si>
  <si>
    <t>MOS@IC</t>
  </si>
  <si>
    <t>5/2003</t>
  </si>
  <si>
    <t>7/2004</t>
  </si>
  <si>
    <t>4/2003</t>
  </si>
  <si>
    <t>2/2003</t>
  </si>
  <si>
    <t>3/2003</t>
  </si>
  <si>
    <t>0884-568476</t>
  </si>
  <si>
    <t>1/2004</t>
  </si>
  <si>
    <t>Giuseppe Longo</t>
  </si>
  <si>
    <t>0881-552446</t>
  </si>
  <si>
    <t>0881-552224 - 338-3382294</t>
  </si>
  <si>
    <t>Corso Europa</t>
  </si>
  <si>
    <t>3434</t>
  </si>
  <si>
    <t>IT32B 01010 41345 615222710653</t>
  </si>
  <si>
    <t xml:space="preserve">336,488076  -- o833-777370 </t>
  </si>
  <si>
    <t>19156-19286</t>
  </si>
  <si>
    <t>(19412-19413-19414)-(19460-19461)</t>
  </si>
  <si>
    <t>19889-19970</t>
  </si>
  <si>
    <t>19891-19972</t>
  </si>
  <si>
    <t>21966-22061</t>
  </si>
  <si>
    <t>21967-21968</t>
  </si>
  <si>
    <t>21974-22065</t>
  </si>
  <si>
    <t>21976-22067</t>
  </si>
  <si>
    <t>22073-22159</t>
  </si>
  <si>
    <t>22074-22160</t>
  </si>
  <si>
    <t>0832.345034 cala - 0833-777356  329-7506376 ferramosca</t>
  </si>
  <si>
    <t>calarobe@calarobe.191.it - lavoripubblici@comune.tricase.le.it</t>
  </si>
  <si>
    <t>Ferdinando Pedaci sindcao - RUP=  era ing giovanni de giorgi ORA: ing Antonio Castrignanò</t>
  </si>
  <si>
    <t>81000410753</t>
  </si>
  <si>
    <t>Foggia, Sant’Agata di Puglia, Società Consortile Valle dell’Orso (che comprende i Comuni di Castelluccio Val Maggiore, Castelluccio dei Sauri, Faeto, Celle San Vito, Orsara di Puglia, Troia), Comunità Montana Dauno Meridionale (che comprende i Comuni di Bovino, Accadia, Deliceto, Rocchetta Sant’Antonio, Panni, Monteleone di Puglia, Anzano di Puglia, Candela)</t>
  </si>
  <si>
    <t>3437</t>
  </si>
  <si>
    <t>1953/SIST</t>
  </si>
  <si>
    <t>6510</t>
  </si>
  <si>
    <t>00363460718</t>
  </si>
  <si>
    <t>Corso Garibaldi</t>
  </si>
  <si>
    <t>16315</t>
  </si>
  <si>
    <t>6655</t>
  </si>
  <si>
    <t>SAL.GO.</t>
  </si>
  <si>
    <t>73042</t>
  </si>
  <si>
    <t>0833-512103</t>
  </si>
  <si>
    <t>81000350751</t>
  </si>
  <si>
    <t>00280760737</t>
  </si>
  <si>
    <t>80006710737</t>
  </si>
  <si>
    <t>Ulteriore Finanziamento Enti Pubblici</t>
  </si>
  <si>
    <t>MIR LIQUIDAZIONE</t>
  </si>
  <si>
    <t>MANDATO 
Ue/S - Reg</t>
  </si>
  <si>
    <t>MANDATO DATA</t>
  </si>
  <si>
    <t>IMPORTI</t>
  </si>
  <si>
    <t>1079-1147</t>
  </si>
  <si>
    <t>Accadia, Alberona, Anzano di Puglia, Apricena, Ascoli Santriano, Biccari, Bovino, Candela, Carlantino, Casalvecchio di Puglia, Castelluccio dei Sauri, Castelluccio Valmaggiore, Castelnuovo della Daunia, Celenza Valfortore, Deliceto, Faeto, Ordona, Orsara di Puglia, Panni, Pietramotecorvino, Poggio Imperiale, Rocchetta Sant’Antonio, Roseto Valfortore, Sant’Agata di Puglia, Torremaggiore, Stornara, Vorturino, Volturara Appula e la Comunità Montana dei Monti Dauni Meridionali</t>
  </si>
  <si>
    <t>Lucera, Castelnuovo della Daunia, Casalnuovo Monterotaro, Roseto Valfortore, Alberona, Celenza Valfortore, Motta Montecorvino, Casalvecchio di Puglia, Pietramontecorvino, Biccari, Sannicandro Garganico</t>
  </si>
  <si>
    <t>OK??</t>
  </si>
  <si>
    <t>9/2003</t>
  </si>
  <si>
    <t>9/2004</t>
  </si>
  <si>
    <t>Melissano, Taviano, Racale, Alliste, Gallipoli</t>
  </si>
  <si>
    <t>attivitàproduttive@comune.casarano.le.it</t>
  </si>
  <si>
    <t>Luigi De Tommasi</t>
  </si>
  <si>
    <t>40258725</t>
  </si>
  <si>
    <t>22/07 1602 di 2.180.250,00 -25/07 5602 di 136203,57 e 24/07 di 248546,43</t>
  </si>
  <si>
    <t>CARE</t>
  </si>
  <si>
    <t>Prov. Foggia</t>
  </si>
  <si>
    <t>RISO</t>
  </si>
  <si>
    <t>APULIE</t>
  </si>
  <si>
    <t>Provincia di Lecce</t>
  </si>
  <si>
    <t>Banca</t>
  </si>
  <si>
    <t xml:space="preserve">Indirizzo Banca </t>
  </si>
  <si>
    <t>C/C</t>
  </si>
  <si>
    <t>558</t>
  </si>
  <si>
    <t>0055</t>
  </si>
  <si>
    <t>Banca Popolare di Puglia e Basilicata, Agenzia 5 di Taranto</t>
  </si>
  <si>
    <t>Via Cesare Battisti, 159 - Taranto</t>
  </si>
  <si>
    <t>080-3494343</t>
  </si>
  <si>
    <t>Avetrana, Carosino, Castellaneta, Crispiano, Faggiano, Fragagnano, Ginosa, Grottaglie, Laterza, Leporano, Maruggio, Massafra, Monteiasi, Montemesola, Monteparano, Mottola, Palagianello, Palagiano, Pulsano, Roccaforzata, San Giorgio Jonico, San Marzano di San Giuseppe, Sava, Statte, Torricella</t>
  </si>
  <si>
    <t>Banca di Credito Cooperativo di Alberobello e Sammichele di Bari Soc. Coop, Agenzia di Martina Franca (Ta)</t>
  </si>
  <si>
    <t>Via Alessandro Fighera, 11 - 74015 Martina Franca (Ta)</t>
  </si>
  <si>
    <t>Banca Nazionale del Lavoro</t>
  </si>
  <si>
    <t>Piazza S. Oronzo, 39 - Lecce</t>
  </si>
  <si>
    <t>11/2003</t>
  </si>
  <si>
    <t>10/03 - 11/04</t>
  </si>
  <si>
    <t>IT39T  0101004197 000039000130</t>
  </si>
  <si>
    <t>IT20V 03069 05108 046357085991</t>
  </si>
  <si>
    <t>Banca Intesa San Paolo, Filiale di Roma</t>
  </si>
  <si>
    <t>Via Franceschini, 49</t>
  </si>
  <si>
    <t>Maria Luisa Caringella - 389-3488630</t>
  </si>
  <si>
    <t>Lecce, Arnesano, Campi Salentina, Caprarica di Lecce, Castrì di Lecce, Guagnano, Lequile, Leverano, Lizzanello, Monteroni di Lecce, Novoli, San Cesario di Lecce, San Donato di Lecce, San Pietro in Lama, Squinzano, Surbo, Trepuzzi, Veglie</t>
  </si>
  <si>
    <t>7/2002</t>
  </si>
  <si>
    <t>6/2001</t>
  </si>
  <si>
    <t>0881791393</t>
  </si>
  <si>
    <t>0805772287</t>
  </si>
  <si>
    <t>Cantatore - Angela Gioia</t>
  </si>
  <si>
    <t>6/2002</t>
  </si>
  <si>
    <t>5/2001</t>
  </si>
  <si>
    <t>8/2002</t>
  </si>
  <si>
    <t>7/2003</t>
  </si>
  <si>
    <t>0881-814082</t>
  </si>
  <si>
    <t>Andria, Barletta, Canosa di Puglia, Corato, Margherita di Savoia, San Ferdinando di Puglia, Trani, Trinitapoli</t>
  </si>
  <si>
    <t>1160</t>
  </si>
  <si>
    <t>3881</t>
  </si>
  <si>
    <t>1612AP</t>
  </si>
  <si>
    <t>6763</t>
  </si>
  <si>
    <t>70026</t>
  </si>
  <si>
    <t>commercio@comune.modugno.ba.it</t>
  </si>
  <si>
    <t>12/2003</t>
  </si>
  <si>
    <t>12/2004</t>
  </si>
  <si>
    <t>12632-12667</t>
  </si>
  <si>
    <t>0833-260241-348-8592919</t>
  </si>
  <si>
    <t>0833-262030 sindaco - 0833-261498 RUP De Tommasi</t>
  </si>
  <si>
    <t>direttoregenerale@comune.gallipoli.le.it, progettispeciali@comune.gallipoli.le.it</t>
  </si>
  <si>
    <t>10/2003</t>
  </si>
  <si>
    <t>13095-13169</t>
  </si>
  <si>
    <t>13097-13171</t>
  </si>
  <si>
    <t>13098-13172</t>
  </si>
  <si>
    <t>13101-13175</t>
  </si>
  <si>
    <t>080-4425218 - 0804394199</t>
  </si>
  <si>
    <t>00182990747</t>
  </si>
  <si>
    <t>080-4836265</t>
  </si>
  <si>
    <t>80009070733</t>
  </si>
  <si>
    <t>Piazza Garibaldi</t>
  </si>
  <si>
    <t>1212</t>
  </si>
  <si>
    <t xml:space="preserve">Fasano, S. Pietro Vernotico, Sandonaci, S. Michele Salentino </t>
  </si>
  <si>
    <t>dott.sa Rosa Di Palma</t>
  </si>
  <si>
    <t>13260-13430</t>
  </si>
  <si>
    <t>dirigente.organizzazione@comune.barletta.ba.it</t>
  </si>
  <si>
    <t>31/2004</t>
  </si>
  <si>
    <t>28/2004</t>
  </si>
  <si>
    <t>Maria Mancini</t>
  </si>
  <si>
    <t>080-4781307 - 348-7517581</t>
  </si>
  <si>
    <t>Francesco Intini</t>
  </si>
  <si>
    <t>codice MIR</t>
  </si>
  <si>
    <t>602C020011</t>
  </si>
  <si>
    <t>602C020027</t>
  </si>
  <si>
    <t>602C020028</t>
  </si>
  <si>
    <t>602C020029</t>
  </si>
  <si>
    <t>602C020030</t>
  </si>
  <si>
    <t>602C020031</t>
  </si>
  <si>
    <t>602C020033</t>
  </si>
  <si>
    <t>602C020034</t>
  </si>
  <si>
    <t>602C020035</t>
  </si>
  <si>
    <t>602C020036</t>
  </si>
  <si>
    <t>602C020037</t>
  </si>
  <si>
    <t>602C020038</t>
  </si>
  <si>
    <t>602C020039</t>
  </si>
  <si>
    <t>602C020040</t>
  </si>
  <si>
    <t>602C020041</t>
  </si>
  <si>
    <t>602C020042</t>
  </si>
  <si>
    <t>602C020043</t>
  </si>
  <si>
    <t>080-3494232 - 360-736607</t>
  </si>
  <si>
    <t>9117-9297</t>
  </si>
  <si>
    <t>prusstmf@libero.it</t>
  </si>
  <si>
    <t>14487-14531</t>
  </si>
  <si>
    <t>13174-13100</t>
  </si>
  <si>
    <t>13099-13173</t>
  </si>
  <si>
    <t>080-4781298</t>
  </si>
  <si>
    <t>2002-2003</t>
  </si>
  <si>
    <t>2004-2005</t>
  </si>
  <si>
    <t>Credem Spa filiale di Celenza Valfortore (FG)</t>
  </si>
  <si>
    <t>Banca Popolare di Milano - Agenzia 270 di Monte Sant'Angelo FG)</t>
  </si>
  <si>
    <t>90001</t>
  </si>
  <si>
    <t>-- / 78490 / 05584</t>
  </si>
  <si>
    <t>Banca Popolare Pugliese di Casarano (LE)</t>
  </si>
  <si>
    <t>8118</t>
  </si>
  <si>
    <t>15104-15153</t>
  </si>
  <si>
    <t>IIquotaUESTATO</t>
  </si>
  <si>
    <t>IIquotaregione</t>
  </si>
  <si>
    <t>IIquotaRep</t>
  </si>
  <si>
    <t>1841</t>
  </si>
  <si>
    <t>50/2002-51/2003</t>
  </si>
  <si>
    <t>43/2005</t>
  </si>
  <si>
    <t>Banca Carime - Filiale di Fasano</t>
  </si>
  <si>
    <t>a.decosmo@provincia.foggia.it</t>
  </si>
  <si>
    <t>00374200715</t>
  </si>
  <si>
    <t>Banco di Napoli, ag di Foggia</t>
  </si>
  <si>
    <t>Via Crispi, 67/73</t>
  </si>
  <si>
    <t>Via Forcella, 66 - 72015 Fasano</t>
  </si>
  <si>
    <t>B / 15799 / 01010</t>
  </si>
  <si>
    <t>Antonio De Cosmo</t>
  </si>
  <si>
    <t>XX Settembre</t>
  </si>
  <si>
    <t>2004/2005</t>
  </si>
  <si>
    <t>Antonio Cantatore</t>
  </si>
  <si>
    <t>080-5774708</t>
  </si>
  <si>
    <t>IT45B 03069 15910 615306233647</t>
  </si>
  <si>
    <t>Banca Popolare Pugliese - Agenzia di Vernole</t>
  </si>
  <si>
    <t>IT92W 05262 79748 T20990000211</t>
  </si>
  <si>
    <t>28155-28244</t>
  </si>
  <si>
    <t>28157-28246</t>
  </si>
  <si>
    <t>28164-28253</t>
  </si>
  <si>
    <t>28406-28592</t>
  </si>
  <si>
    <t>28420-28598</t>
  </si>
  <si>
    <t>9241-9405</t>
  </si>
  <si>
    <t>24431-24581</t>
  </si>
  <si>
    <t>IT07W 05584 78300 000000000200</t>
  </si>
  <si>
    <t>Via Indipendenza 21/23 - 71023 - Bovino (Fg)</t>
  </si>
  <si>
    <t>6048-6071</t>
  </si>
  <si>
    <t>Banca Intesa Spa, Filiale 165</t>
  </si>
  <si>
    <t>Via Cappuccini, 13 - 72100 Brindisi</t>
  </si>
  <si>
    <t>Banca Pololare di Puglia e Basilicata, Filiale di Laterza (Ta)</t>
  </si>
  <si>
    <t>Piazza Vittorio Emanuele 27 – 74014</t>
  </si>
  <si>
    <t>2004</t>
  </si>
  <si>
    <t>16139-16203</t>
  </si>
  <si>
    <t>16140-16204</t>
  </si>
  <si>
    <t>16733-16792</t>
  </si>
  <si>
    <t>Bari, Adelfia, Bitetto, Bitonto, Bitritto, Cellamare, Giovinazzo, Molfetta, Palo del Colle, Ruvo di Puglia, Sannicandro di Bari, Terlizzi, Valenzano</t>
  </si>
  <si>
    <t>2086/3</t>
  </si>
  <si>
    <t>Lucio Barbaro</t>
  </si>
  <si>
    <t>82000950715</t>
  </si>
  <si>
    <t>dott. Fernando Virgilio</t>
  </si>
  <si>
    <t>gcantanna@libero.it</t>
  </si>
  <si>
    <t>53/2005</t>
  </si>
  <si>
    <t>44/2005</t>
  </si>
  <si>
    <t>Unicredit Banca</t>
  </si>
  <si>
    <t>Corso Garibaldi ,1 - 71100 Foggia</t>
  </si>
  <si>
    <t>18346-18406</t>
  </si>
  <si>
    <t>19406-19530-19531</t>
  </si>
  <si>
    <t>Banca Nazionale del Lavoro - Bari Tesoreria Comunale</t>
  </si>
  <si>
    <t>Via Roberto da Bari, 3 - 70122 Bari</t>
  </si>
  <si>
    <t>Corso Vittorio Emanule</t>
  </si>
  <si>
    <t>dott. Angelo Roma</t>
  </si>
  <si>
    <t>Banca Popolare Pugliese Filiale di Maglie</t>
  </si>
  <si>
    <t>Piazza Aldo Moro, 5 - 73024 Maglie (Le)</t>
  </si>
  <si>
    <t>IIdatarep</t>
  </si>
  <si>
    <t>II_SPESA</t>
  </si>
  <si>
    <t>II_CONTRIBUTO</t>
  </si>
  <si>
    <t>II_MANDATO 
Ue/S - Reg</t>
  </si>
  <si>
    <t>II_MANDATO DATA</t>
  </si>
  <si>
    <t>Data richiesta</t>
  </si>
  <si>
    <t xml:space="preserve"> Via Luigi Luzzatti, 8 - 73046 - Matino (Le)</t>
  </si>
  <si>
    <t>Banca Popolare Pugliese</t>
  </si>
  <si>
    <t>344</t>
  </si>
  <si>
    <t>Teresa Vantaggio 3293178955</t>
  </si>
  <si>
    <t>0833.520960</t>
  </si>
  <si>
    <t>437</t>
  </si>
  <si>
    <t>PIT</t>
  </si>
  <si>
    <t>SIDAT</t>
  </si>
  <si>
    <t>Apricena, Carapelle, Castelluccio dei Sauri, Castelluccio Valmaggiore, Celle San Vito, Cerignola, Chiesti, Faeto, Foggia, Lesina, Ordina, Orsara di Puglia, Orta Nova, Poggio Imperiale, San Paolo Civitate, San Severo, Serracapriola, Stornara, Stornarella, Torremaggiore, Troia</t>
  </si>
  <si>
    <t>99/PIT</t>
  </si>
  <si>
    <t>via Gramsci</t>
  </si>
  <si>
    <t>Carlo Dicesare</t>
  </si>
  <si>
    <t>Bari, Adelfia, Bitritto, Bitetto, Capurso, Casamassima, Cellamare, Modugno, Mola di Bari, Noicattaro, Palo del Colle, Rutigliano, Sannicandro, Triggiano, Valenzano</t>
  </si>
  <si>
    <t>144563</t>
  </si>
  <si>
    <t>5409</t>
  </si>
  <si>
    <t>Via Marchese di Montone</t>
  </si>
  <si>
    <t>080-5776061</t>
  </si>
  <si>
    <t>fare disimpegno</t>
  </si>
  <si>
    <t>80015010723</t>
  </si>
  <si>
    <t>Nome</t>
  </si>
  <si>
    <t>Nome_esteso_progetto</t>
  </si>
  <si>
    <t>166-26/03/09</t>
  </si>
  <si>
    <t>167-26/03/09</t>
  </si>
  <si>
    <t>SISTEMA INFORMATIVO DEL DISTRETTO AGROALIMENTARE DEL TAVOLIERE</t>
  </si>
  <si>
    <t>Portale del Marketing Territoriale  della Valle d’Itria</t>
  </si>
  <si>
    <t xml:space="preserve">ITRI@MKTG </t>
  </si>
  <si>
    <t>Alberobello, Castellana Grotte, Locorotondo, Martina Franca, Monopoli, Noci, Putignano</t>
  </si>
  <si>
    <t>VI SAL</t>
  </si>
  <si>
    <t>12420</t>
  </si>
  <si>
    <t>5547</t>
  </si>
  <si>
    <t>080-4836303</t>
  </si>
  <si>
    <t>080-4836292</t>
  </si>
  <si>
    <t>3953-4032</t>
  </si>
  <si>
    <t>3954-4033</t>
  </si>
  <si>
    <t>163-253</t>
  </si>
  <si>
    <t>348-435</t>
  </si>
  <si>
    <t>349-436</t>
  </si>
  <si>
    <t>521-690</t>
  </si>
  <si>
    <t>525-692</t>
  </si>
  <si>
    <t>27195-27412</t>
  </si>
  <si>
    <t>27196-27413</t>
  </si>
  <si>
    <t>26929-27115-27116-27118</t>
  </si>
  <si>
    <t>27197-27414</t>
  </si>
  <si>
    <t>27253-27462</t>
  </si>
  <si>
    <t>27769-27891</t>
  </si>
  <si>
    <t>27717-27718-27719</t>
  </si>
  <si>
    <t>27770-27892</t>
  </si>
  <si>
    <t>27830-27938</t>
  </si>
  <si>
    <t>27831-27939</t>
  </si>
  <si>
    <t>27954-28090</t>
  </si>
  <si>
    <t>27967-28100</t>
  </si>
  <si>
    <t>27994-28126</t>
  </si>
  <si>
    <t xml:space="preserve">Giuseppe Alemanno </t>
  </si>
  <si>
    <t xml:space="preserve">prusstmf@libero.it </t>
  </si>
  <si>
    <t>1 - Tavoliere</t>
  </si>
  <si>
    <t xml:space="preserve">5 - VALLE D’ITRIA </t>
  </si>
  <si>
    <t>PMM, IDT, PAL, ECO, SQV</t>
  </si>
  <si>
    <t>5573-5692</t>
  </si>
  <si>
    <t>5972-6074</t>
  </si>
  <si>
    <t>VIquotaUESTATO</t>
  </si>
  <si>
    <t>VI_CONTRIBUTO</t>
  </si>
  <si>
    <t>VI_SPESA</t>
  </si>
  <si>
    <t>VIquotaregione</t>
  </si>
  <si>
    <t>VIquotaRep</t>
  </si>
  <si>
    <t>VIdatarep</t>
  </si>
  <si>
    <t>VI_MANDATO 
Ue/S - Reg</t>
  </si>
  <si>
    <t>VI_MANDATO DATA</t>
  </si>
  <si>
    <t>IMPORTI VI Quota</t>
  </si>
  <si>
    <t>quotaUE/stato</t>
  </si>
  <si>
    <t>quota regione</t>
  </si>
  <si>
    <t>disimpegno</t>
  </si>
  <si>
    <t>quota UE stato</t>
  </si>
  <si>
    <t>DAJS.NET - Distretto Agro-alimentare Jonico Salentino.Net</t>
  </si>
  <si>
    <t>9 - Territorio Salentino Leccese</t>
  </si>
  <si>
    <t>da preparare</t>
  </si>
  <si>
    <t>Innovazione delle tecnologie e delle infrastrutture telematiche degli enti locali (INN.PA). Innovazione tecnologica e messa in rete dei centri servizio del pit 9 (INN.CS). Sitema informativo del pit 9 (SIS.INF). Basso salento industrial networking - rete informativa ambientale (BA.S.I.N.). Ampliamento e consolidamento suap (SUAP)</t>
  </si>
  <si>
    <t>INN.PA, INN.CS, SIS.INF, BA.S.I.N., SUAP</t>
  </si>
  <si>
    <t>Acquarica del Capo, Alessano, Alezio, Alliste, Andrano, Aradeo, Bagnolo del Salento, Botrugno, Calimera, Cannole, Casarano, Castrignano dei Greci, Castro, Collepasso, Corigliano d’Otranto, Corsano, Cursi, Diso, Gagliano del Capo, Galatone, Gallipoli, Giuggianello, Giurdignano, Maglie, Martano, Martignano, Matino, Melissano, Melpignano, Miggiano, Minervino di Lecce, Montesano Salentino, Morciano di Leuca, Muro Leccese, Nardò, Neviano, Nociglia, Ortelle, Otranto, Palmariggi, Parabita, Patù, Poggiardo, Presicce, Racale, Ruffano, Salve, San Cassiano, Sanarica, Sannicola, Santa Cesarea Terme, Scorrano, Seclì, Soleto, Specchia, Spongano, Sternatia, Supersano, Surano, Taurisano, Taviano, Tiggiano, Tricase, Tuglie, Ugento, Uggiano la Chiesa, Zollino</t>
  </si>
  <si>
    <t>10500</t>
  </si>
  <si>
    <t>Piazza S. Domenico</t>
  </si>
  <si>
    <t>2 - Area Nord Barese</t>
  </si>
  <si>
    <t>Andria</t>
  </si>
  <si>
    <t>8 - Area Jonico - Salentina</t>
  </si>
  <si>
    <t>Provincia di Brindisi</t>
  </si>
  <si>
    <t>ufficiounicopit8@libero.it</t>
  </si>
  <si>
    <t>800-332657 0832-302933  337834647 - Mazzeo / 320 0758787 Annarita Briganti ref tecnico</t>
  </si>
  <si>
    <t>PROV. LECCE</t>
  </si>
  <si>
    <t>ALMAVIVA 5° D'OBBILGO</t>
  </si>
  <si>
    <t>3837-3926</t>
  </si>
  <si>
    <t>3952-4021</t>
  </si>
  <si>
    <t>15570-15681</t>
  </si>
  <si>
    <t>14436-14508</t>
  </si>
  <si>
    <t>14373-14453</t>
  </si>
  <si>
    <t>12850-12970</t>
  </si>
  <si>
    <t>14517-14585</t>
  </si>
  <si>
    <t>13039-13093</t>
  </si>
  <si>
    <t>15569-15680</t>
  </si>
  <si>
    <t>15085-15139</t>
  </si>
  <si>
    <t>Manduria???</t>
  </si>
  <si>
    <t>Brindisi, Carovigno, Ceglie Messapica, Cellino San Marco, Cisternino, Erchie, Fasano, Francavilla Fontana, Latiano, Mesagne, Oria, Ostuni, San Donaci, San Pancrazio Salentino, San Pietro Vernotico, San Vito dei Normanni, Torchiarolo, Torre S.Susanna, Arnesano, Campi Salentina, Caprarica di Lecce, Carmiano, Carpignano Salentino, Castrì di Lecce, Cavallino, Copertino, Cutrofiano, Galatina, Guagnano, Lecce, Lequile, Leverano, Lizzanello, Melendugno, Monteroni di Lecce, Novoli, Salice Salentino, San Cesario di Lecce, San Donato, San Pietro in Lama, Sogliano Cavour, Squinzano, Surbo, Trepuzzi, Veglie, Vernole, Avetrana, Carosino, Crispiano, Faggiano, Grottaglie, Leporano, Lizzano, Manduria, Monteiasi, Montemesola, Monteparano, Pulsano, Roccaforzata, San Marzano di San Giuseppe, Sava, Torricella</t>
  </si>
  <si>
    <t>16</t>
  </si>
  <si>
    <t>Via Libertini - ex Conservatorio S. Anna</t>
  </si>
  <si>
    <t>Maurizio Mazzeo</t>
  </si>
  <si>
    <t>6 - Taranto</t>
  </si>
  <si>
    <t>aggiungere 1353,01 di spesa prima sospesa</t>
  </si>
  <si>
    <t>6292-6466</t>
  </si>
  <si>
    <t>7307-7433</t>
  </si>
  <si>
    <t>7306-7432</t>
  </si>
  <si>
    <t>7456-7577</t>
  </si>
  <si>
    <t>7763-7967</t>
  </si>
  <si>
    <t>eI.S.LOG.</t>
  </si>
  <si>
    <t>Maurizia Merìco</t>
  </si>
  <si>
    <t>4 - Area della Murgia</t>
  </si>
  <si>
    <t>Maria Luisa Caringella</t>
  </si>
  <si>
    <t>m.caringella@pit2.it</t>
  </si>
  <si>
    <t>7 - Brindisi</t>
  </si>
  <si>
    <t>Giovanni Antelmi</t>
  </si>
  <si>
    <t>0831-565322 cell 3405558342</t>
  </si>
  <si>
    <t>giovanni.antelmi@provincia.brindisi.it</t>
  </si>
  <si>
    <t>10 - Sub Appennino Dauno</t>
  </si>
  <si>
    <t>comunitamontana.bovino.fg@isnet.it, cmgentile@wooow.it</t>
  </si>
  <si>
    <t>0832-305792</t>
  </si>
  <si>
    <t>pit@comune.foggia.it, info@pit-tavoliere.it</t>
  </si>
  <si>
    <t>Banca Carime - Filiale di san Ferdinando di Puglia</t>
  </si>
  <si>
    <t>Via Papa Giovanni XXIII, 44 - 71046 San Ferdinando di Puglia</t>
  </si>
  <si>
    <t>Via Isonzo</t>
  </si>
  <si>
    <t xml:space="preserve">Banca Popolare Pugliese - Agenzia di Manduria </t>
  </si>
  <si>
    <t>Via per Oria, 43 - 74024 Manduria (Ta)</t>
  </si>
  <si>
    <t>-- / 78920 / 05262</t>
  </si>
  <si>
    <t>099-9702248</t>
  </si>
  <si>
    <t>Avv. Vincenzo Dinoi</t>
  </si>
  <si>
    <t>p.m.manduria@libero.it</t>
  </si>
  <si>
    <t>Tesoreria Comunale</t>
  </si>
  <si>
    <t>Banca UNICREDIT di Brindisi</t>
  </si>
  <si>
    <t>Viale Commenda, 13 - 72100 Brindisi</t>
  </si>
  <si>
    <t>S.I.M. Murgia – Sistema informativo di marketing dell’Area della Murgia</t>
  </si>
  <si>
    <t>Santeramo in Colle</t>
  </si>
  <si>
    <t>XXX</t>
  </si>
  <si>
    <t>9343-9460</t>
  </si>
  <si>
    <t>8732-8843</t>
  </si>
  <si>
    <t>www.ptipuglia.it</t>
  </si>
  <si>
    <t>www.pit-tavoliere.it</t>
  </si>
  <si>
    <t>http://www.dauniavalley.it/</t>
  </si>
  <si>
    <t>RESIDUO SUL PO 2007-13</t>
  </si>
  <si>
    <t>www.pit2.it</t>
  </si>
  <si>
    <t>somme della 624 prelevate con fondi della 774/046 del pit8, fare lo stesso con il Pit 8 prelevando dalla 900/46</t>
  </si>
  <si>
    <t>scaricare dalla 900</t>
  </si>
  <si>
    <t>0881-966350 (Dauni Meridionali) 0881-961460 - '0881-558314 (Dauni settentrionali)</t>
  </si>
  <si>
    <t>Acquaviva delle Fonti, Altamura, Cassano delle Murge, Gioia del Colle, Gravina in Puglia, Ginosa, Grumo Appula, Minervino Murge, Poggiorsini, Sammichele di Bari, Santeramo in Colle, Spinazzola, Toritto, Turi; e le Amministrazioni Provinciali di Bari e di Taranto</t>
  </si>
  <si>
    <t>'6726-6824</t>
  </si>
  <si>
    <t>6724-6821</t>
  </si>
  <si>
    <t>'6730-6827</t>
  </si>
  <si>
    <t>7271-7327</t>
  </si>
  <si>
    <t>Durata mesi</t>
  </si>
  <si>
    <t>Sistema Digitale Nord Barese</t>
  </si>
  <si>
    <t>Andria, Barletta, Bitonto, Bisceglie, Canosa di Puglia, Corato, Giovinazzo, Molfetta, Margherita di Savoia, Ruvo di Puglia, Terlizzi, San Ferdinando di Puglia, Trani, Trinitapoli</t>
  </si>
  <si>
    <t>114/S/2006</t>
  </si>
  <si>
    <t>Piazza Umberto</t>
  </si>
  <si>
    <t>Fragagnano,Grottaglie, Massafra, San Giorgio Jonico, Taranto e Provincia di Taranto</t>
  </si>
  <si>
    <t>141</t>
  </si>
  <si>
    <t>'--</t>
  </si>
  <si>
    <t>Infrastrutturazione info – telematica del Sistema Territoriale di Brindisi</t>
  </si>
  <si>
    <t>Via De Leo</t>
  </si>
  <si>
    <t>9227-9393</t>
  </si>
  <si>
    <t>preleva dall AD920 sul capitolo 5602 sino alla concorrenza di 71.718,86. già prelevati 39.560,30 e 22.075,25.</t>
  </si>
  <si>
    <t>11313-11477</t>
  </si>
  <si>
    <t>11318-11482</t>
  </si>
  <si>
    <t>10105-10365</t>
  </si>
  <si>
    <t>10103-10363</t>
  </si>
  <si>
    <t>10104-10364</t>
  </si>
  <si>
    <t>9239-9401</t>
  </si>
  <si>
    <t>10829-11030</t>
  </si>
  <si>
    <t>9454-9534</t>
  </si>
  <si>
    <t>9841-10050</t>
  </si>
  <si>
    <t>Carovigno, Cisternino, Ostuni, San Vito dei Normanni, Erchie, Francavilla Fontana, Mesagne, San Donaci, San Pietro Vernotico, Ceglie Messapica, Fasano, Cellino San Marco, Torchiarolo, Latiano, Oria, San Pancrazio Salentino, Torre Santa susanna, Brindisi e la Provincia di Brindisi</t>
  </si>
  <si>
    <t>00184540748</t>
  </si>
  <si>
    <t>Get Localo Sub-appennino Dauno</t>
  </si>
  <si>
    <t xml:space="preserve">Comunità Montana dei Monti Dauni Meridionali - Comunità Montana dei Monti Dauni Settentrionale </t>
  </si>
  <si>
    <t>2830</t>
  </si>
  <si>
    <t>Bovino</t>
  </si>
  <si>
    <t>Loc. Tiro a Segno</t>
  </si>
  <si>
    <t>11673-11790</t>
  </si>
  <si>
    <t>11683-11800</t>
  </si>
  <si>
    <t>11684-11801</t>
  </si>
  <si>
    <t>Banca Carime Spa - Agenzia di Lucera</t>
  </si>
  <si>
    <t>Via IV Novembre, 77 - 71036 Lucera (Fg)</t>
  </si>
  <si>
    <t>Sindaco Salvatore Puttilli RUP: Già ing. Vito Evangelista con nota del 09.10.07, ora  dott. Gennaro Sinisi con nota del 26/03/2008 3472461958, ora d.ssa Rosa DI PALMA atto decr. Sindacale 48 del 29/12/08 in atti</t>
  </si>
  <si>
    <t>Banca Popolare di Bari, Agenzia n.230, Piazza Garibaldi n.58 - Modugno (ba)</t>
  </si>
  <si>
    <t>189 - 253 dei 20ke</t>
  </si>
  <si>
    <t>265-05/05/09</t>
  </si>
  <si>
    <t>Piazza del Popolo</t>
  </si>
  <si>
    <t>080-3022889</t>
  </si>
  <si>
    <t>simulazione 30%</t>
  </si>
  <si>
    <t>0805865522</t>
  </si>
  <si>
    <t>Rosa De Benedetto via Plinio 16 - Taranto 3383216458</t>
  </si>
  <si>
    <t>r.debenedetto@comune.taranto.it</t>
  </si>
  <si>
    <t>segretario.gen@comune.noicattaro.bari.it</t>
  </si>
  <si>
    <t>fintini@comune.gioadelcolle.ba.it, murgianet.gioia@libero.it</t>
  </si>
  <si>
    <t>0881-791325 - 0881-791365 maraschello dott.ssa</t>
  </si>
  <si>
    <t>0881-814015 Lauriola dottsa Lembo maria 0881-814002, ing. De Santis 3386096778</t>
  </si>
  <si>
    <t>RUP Ing. Michele Lauriola 0881-814015 fax 0881-814082 cel 335-5705528</t>
  </si>
  <si>
    <t>m.lauriola@comune.foggia.it, m.lembo@comune.foggia.it</t>
  </si>
  <si>
    <t>acaggiula@comune.maglie.le.it</t>
  </si>
  <si>
    <t>0831-229222 - 0831-560716</t>
  </si>
  <si>
    <t>0883-578484</t>
  </si>
  <si>
    <t>Angelo Raffaele Sgambati</t>
  </si>
  <si>
    <t>0884-562088 cel 347-7860736</t>
  </si>
  <si>
    <t>sgambati.cmg@virgilio.it</t>
  </si>
  <si>
    <t>III_SPESA</t>
  </si>
  <si>
    <t>III_CONTRIBUTO</t>
  </si>
  <si>
    <t>IIIquotaUESTATO</t>
  </si>
  <si>
    <t>IIIquotaregione</t>
  </si>
  <si>
    <t>IIIquotaRep</t>
  </si>
  <si>
    <t>IIIdatarep</t>
  </si>
  <si>
    <t>III_MANDATO 
Ue/S - Reg</t>
  </si>
  <si>
    <t>III_MANDATO DATA</t>
  </si>
  <si>
    <t>IMPORTI III Quota</t>
  </si>
  <si>
    <t>39000002</t>
  </si>
  <si>
    <t>SINTESI</t>
  </si>
  <si>
    <t>PROV. BARI</t>
  </si>
  <si>
    <t>1820-1901</t>
  </si>
  <si>
    <t>30/24-19.05.09</t>
  </si>
  <si>
    <t>32/r.s06-26/09-19.05.09</t>
  </si>
  <si>
    <t>Banca Nazionale del Lavoro Spa (BNL)</t>
  </si>
  <si>
    <t>Via Roberto da Bari, 3 - 70122 BARI</t>
  </si>
  <si>
    <t>3 - Area Metropolitana di Bari</t>
  </si>
  <si>
    <t>IMPORTI II Quota</t>
  </si>
  <si>
    <t>I_SPESA</t>
  </si>
  <si>
    <t>I_CONTRIBUTO</t>
  </si>
  <si>
    <t>IquotaUESTATO</t>
  </si>
  <si>
    <t>Iquotaregione</t>
  </si>
  <si>
    <t>IquotaRep</t>
  </si>
  <si>
    <t>Idatarep</t>
  </si>
  <si>
    <t>I_MANDATO 
Ue/S - Reg</t>
  </si>
  <si>
    <t>I_MANDATO DATA</t>
  </si>
  <si>
    <t>IMPORTI I Quota</t>
  </si>
  <si>
    <t>Portale Multicanale Metropolitano (PMM) - Rete Dell’identita’ Del Territorio Dell’area Metropolitana Di Bari (IDT) - Rete Intercomunale Per Le Politiche Attive Del Lavoro (PAL) - Rete Delle Economie Locali (ECO) - Rete Per La Sicurezza E La Qualità Della Vita (SQV)</t>
  </si>
  <si>
    <t>25140_25288</t>
  </si>
  <si>
    <t>26789_26875</t>
  </si>
  <si>
    <t>rep determina</t>
  </si>
  <si>
    <t>data determina</t>
  </si>
  <si>
    <t>Sistema Digitale Nord Barese - Laboratorio MIP</t>
  </si>
  <si>
    <t>11665-11821</t>
  </si>
  <si>
    <t>13040-13094</t>
  </si>
  <si>
    <t>16012-16051</t>
  </si>
  <si>
    <t>12432-12625</t>
  </si>
  <si>
    <t>0831-565209</t>
  </si>
  <si>
    <t>0883-290217</t>
  </si>
  <si>
    <t>0881-961460 (Dauni Meridionali) - '0881-558314 (Dauni settentrionali)</t>
  </si>
  <si>
    <t>Tommaso Lecce (Dauni Meridionali) - Ferdinando Dragonetti (Dauni settentrionali)</t>
  </si>
  <si>
    <t>0883-290225</t>
  </si>
  <si>
    <t>15869-15958</t>
  </si>
  <si>
    <t>16935-17037</t>
  </si>
  <si>
    <t>PROGETTI E-GOV</t>
  </si>
  <si>
    <t>PIS</t>
  </si>
  <si>
    <t>PIS11</t>
  </si>
  <si>
    <t>PIS12</t>
  </si>
  <si>
    <t>PIS13</t>
  </si>
  <si>
    <t>PIS14</t>
  </si>
  <si>
    <t>PIS15</t>
  </si>
  <si>
    <t>LE</t>
  </si>
  <si>
    <t>Via Rubichi</t>
  </si>
  <si>
    <t>0832.682212</t>
  </si>
  <si>
    <t>0832.682110</t>
  </si>
  <si>
    <t>Antonio Esposito</t>
  </si>
  <si>
    <t>COLLAUDAORI</t>
  </si>
  <si>
    <t>SPECCHIA Cosimo   - Funzionario Regionale (presidente);
CASTELLUZZO Vincenzo - Iscritto Albo Regionale collaudatori; Maglie (Le) Via G. De Giuseppe, 22
RICCI Antonio   - Iscritto Elenco esperti area economia; Via Villa Castelli 10/BIS/B - Martina Franca (Ba) - 0804838803</t>
  </si>
  <si>
    <t>DI FONZO Giuseppangelo - Funzionario Regionale (presidente);
SCIANNAMEO Giuseppe  - Iscritto Albo Regionale collaudatori; Bari, Vico Capurso 38
PESINO Roberto   - Iscritto Elenco esperti area economia; Via Duca D'Aosta 65 - Cavallino (le) - 0832612455</t>
  </si>
  <si>
    <t>SISTO Giuseppe   - Funzionario Regionale (presidente);
COTARDO Daniele  - Iscritto Albo Regionale collaudatori; Melpignano, Via San Giorgio 14
PALMISANO Domenico  - Iscritto Elenco esperti area economia; Soleto (le) Viale Italia 25 - 0836-667167</t>
  </si>
  <si>
    <t>23/09</t>
  </si>
  <si>
    <t>19/09</t>
  </si>
  <si>
    <t>non impegnato</t>
  </si>
  <si>
    <t>214-27/04/2009</t>
  </si>
  <si>
    <t>215-27/04/2009</t>
  </si>
  <si>
    <t>Polo Martina Franca-Francavilla Fontana</t>
  </si>
  <si>
    <t>TA</t>
  </si>
  <si>
    <t xml:space="preserve">P.zza Roma </t>
  </si>
  <si>
    <t>080.4836292</t>
  </si>
  <si>
    <t>106-11/03/09</t>
  </si>
  <si>
    <t>Polo Bari-Taranto</t>
  </si>
  <si>
    <t>Via Marchese di Montrone</t>
  </si>
  <si>
    <t>080.5776067</t>
  </si>
  <si>
    <t>080.5237151</t>
  </si>
  <si>
    <t>Francesco Ficarella</t>
  </si>
  <si>
    <t>politichecomunitarie@comune.bari.it</t>
  </si>
  <si>
    <t>Polo Bat</t>
  </si>
  <si>
    <t>San Ferdinando</t>
  </si>
  <si>
    <t>Bat</t>
  </si>
  <si>
    <t>0883.626218</t>
  </si>
  <si>
    <t>0883.626248</t>
  </si>
  <si>
    <t>sindaco@ferd.it, ufficiostaff@ferd.it</t>
  </si>
  <si>
    <t>Polo Brindisi</t>
  </si>
  <si>
    <t>0831.229331/431/221</t>
  </si>
  <si>
    <t>0831.229222</t>
  </si>
  <si>
    <t>Angelo Roma</t>
  </si>
  <si>
    <t>mcappello@comune.brindisi.it</t>
  </si>
  <si>
    <t>Polo Salentino</t>
  </si>
  <si>
    <t>Vernole</t>
  </si>
  <si>
    <t>P.zza V.Veneto</t>
  </si>
  <si>
    <t>Polo Foggia</t>
  </si>
  <si>
    <t>C.so Garibaldi</t>
  </si>
  <si>
    <t>avvanzos@libero.it</t>
  </si>
  <si>
    <t>Habitat Rupestre</t>
  </si>
  <si>
    <t>CONTRIBUTO FINALE SPETTANTE</t>
  </si>
  <si>
    <t>Laterza</t>
  </si>
  <si>
    <t>P.zza Plebiscito</t>
  </si>
  <si>
    <t>Sud Salento</t>
  </si>
  <si>
    <t>Salve</t>
  </si>
  <si>
    <t>C.so Roma</t>
  </si>
  <si>
    <t>0832.345034</t>
  </si>
  <si>
    <t>calarobe@calarobe.191.it</t>
  </si>
  <si>
    <t>Gargano</t>
  </si>
  <si>
    <t>Ente Parco Nazionale del Gargano</t>
  </si>
  <si>
    <t>Via S.Antonio Abate</t>
  </si>
  <si>
    <t>sito</t>
  </si>
  <si>
    <t>www.sudestbarese.it</t>
  </si>
  <si>
    <t>www.murgianet.net</t>
  </si>
  <si>
    <t>mancano loghi</t>
  </si>
  <si>
    <t>non trovo</t>
  </si>
  <si>
    <t>www.memoriaeconoscenza.it</t>
  </si>
  <si>
    <t>www.comune.alberobello.ba.it</t>
  </si>
  <si>
    <t>www.contest.taranto.it</t>
  </si>
  <si>
    <t>www.foggiafaro.it</t>
  </si>
  <si>
    <t>www.maglie.cchnet.it</t>
  </si>
  <si>
    <t>www.japigia.com</t>
  </si>
  <si>
    <t>www.salgo.areasistema.it</t>
  </si>
  <si>
    <t>www.tosalento.com</t>
  </si>
  <si>
    <t>0884.561348</t>
  </si>
  <si>
    <t>direttore@parcogargano.it</t>
  </si>
  <si>
    <t>VII SAL</t>
  </si>
  <si>
    <t>IMPORTI VII Quota</t>
  </si>
  <si>
    <t>VII_SPESA</t>
  </si>
  <si>
    <t>VII_CONTRIBUTO</t>
  </si>
  <si>
    <t>VII_quotaUESTATO</t>
  </si>
  <si>
    <t>VII_quotaregione</t>
  </si>
  <si>
    <t>VII_quotaRep</t>
  </si>
  <si>
    <t>VII_datarep</t>
  </si>
  <si>
    <t>VII_MANDATO 
Ue/S - Reg</t>
  </si>
  <si>
    <t>VII_MANDATO DATA</t>
  </si>
  <si>
    <t>1506/209</t>
  </si>
  <si>
    <t>15259</t>
  </si>
  <si>
    <t>APULIE secondo provved. Quota DIT</t>
  </si>
  <si>
    <t>CARE secondo provved. Quota DIT</t>
  </si>
  <si>
    <t>RISO secondo provved. Quota DIT</t>
  </si>
  <si>
    <t>13732-13803</t>
  </si>
  <si>
    <t>13733-13806</t>
  </si>
  <si>
    <t>13727-13801</t>
  </si>
  <si>
    <t>Via P. Nenni</t>
  </si>
  <si>
    <t>Via A. De Pace</t>
  </si>
  <si>
    <t>Ing. Luigi Tundo</t>
  </si>
  <si>
    <t>CST CASARANO FAS</t>
  </si>
  <si>
    <t>CST CASARANO POR</t>
  </si>
  <si>
    <t>CST FAS COM MONTANA DAUNI MERIDIONALI</t>
  </si>
  <si>
    <t>CST POR COM MONTANA DAUNI MERIDIONALI</t>
  </si>
  <si>
    <t>CST POR TECNOPOLIS</t>
  </si>
  <si>
    <t>330141</t>
  </si>
  <si>
    <t>9257</t>
  </si>
  <si>
    <t>16/2008 rs 2006</t>
  </si>
  <si>
    <t>14/2008 rs 2005</t>
  </si>
  <si>
    <t>deve fare richiesta di anticipo con dichiarazione di inizio lavori</t>
  </si>
  <si>
    <t>IT96Q 08338 41320 090000001020</t>
  </si>
  <si>
    <t>Assis. Tecnica</t>
  </si>
  <si>
    <t>Valenzano</t>
  </si>
  <si>
    <t>ba</t>
  </si>
  <si>
    <t>st. prov. Casamassima km.3</t>
  </si>
  <si>
    <t>Via Luigi Luzzatti, 8 - 73046 Matino (LE)</t>
  </si>
  <si>
    <t>233-269</t>
  </si>
  <si>
    <t>Polo Leccese e Alto Tavoliere</t>
  </si>
  <si>
    <t>RUPAR/CONV ASSOCIAZIONI</t>
  </si>
  <si>
    <t>246740/I15</t>
  </si>
  <si>
    <t>709/pes/68830</t>
  </si>
  <si>
    <t>Domenico Proscia Via Pascoli 2/B Modugno (ba)</t>
  </si>
  <si>
    <t>in ragioneria</t>
  </si>
  <si>
    <t>0805865520/502 - 3358485650 sindaco modugno dott. Rana - RUP Proscia 080-5356302</t>
  </si>
  <si>
    <t>Banca Nazionale del Lavoro, Agenzia di P.zza. S. Oronzo, 73100 Lecce</t>
  </si>
  <si>
    <t>3063-3137</t>
  </si>
  <si>
    <t>2098-2168</t>
  </si>
  <si>
    <t>2192-2256</t>
  </si>
  <si>
    <t>2099-2169</t>
  </si>
  <si>
    <t>Banca di Credito Cooperativo di Alberobello e Sammichele di Bari - Agenzia di Martina Franca</t>
  </si>
  <si>
    <t>Provincia Taranto</t>
  </si>
  <si>
    <t>San Paolo Banco di Napoli Spa, Filiale di Taranto</t>
  </si>
  <si>
    <t>fine lavori</t>
  </si>
  <si>
    <t>Filomena Tanzarella/Ciro Magno</t>
  </si>
  <si>
    <t>80009830730</t>
  </si>
  <si>
    <t>80000840753</t>
  </si>
  <si>
    <t>IT12J 0200816010000002631672</t>
  </si>
  <si>
    <t>VIA ANFITEATRO</t>
  </si>
  <si>
    <t>UNICREDIT BANCA FILIALE DI LECCE</t>
  </si>
  <si>
    <t>PIAZZETTA RICCARDI</t>
  </si>
  <si>
    <t>frigiola@comune.laterza.ta.it</t>
  </si>
  <si>
    <t>099.8297919 - 3392203218</t>
  </si>
  <si>
    <t>099.8297919</t>
  </si>
  <si>
    <t>Alberobello, Avetrana, Castellana Grotte, Ceglie Messapica, Cisternino, Fasano, Francavilla Fontana, Locorotondo, Manduria, Martina Franca, Mesagne, Monopoli, Noci, Ostuni, Polignano a mare, Putignano, San Pancrazio Salentino, Turi, Villa Castelli</t>
  </si>
  <si>
    <t>080.4836252</t>
  </si>
  <si>
    <t>Giovanni Trono - Settore Politiche Comunitarie</t>
  </si>
  <si>
    <t>PROV.TARANTO</t>
  </si>
  <si>
    <t>099-4581947/4</t>
  </si>
  <si>
    <t>099-4581968/860</t>
  </si>
  <si>
    <t>0832-340193</t>
  </si>
  <si>
    <t>Banca Popolare di Milano, Filiale di Bovino</t>
  </si>
  <si>
    <t>800-332657 0832-302933  337834647 - Mazzeo / 320 0758787 Annarita Briganti ref tecnico 0832.682554</t>
  </si>
  <si>
    <t>ALMAVIVA spa già FINSIEL spa</t>
  </si>
  <si>
    <t>0832-683712</t>
  </si>
  <si>
    <t>Unicredit Banca Spa</t>
  </si>
  <si>
    <t>p.zza Riccardi, 9 73100 Lecce</t>
  </si>
  <si>
    <t>80003700715</t>
  </si>
  <si>
    <t>notifica determina</t>
  </si>
  <si>
    <t>notifica convenzione</t>
  </si>
  <si>
    <t>Banca Intesa Spa Tesoreria Comunale</t>
  </si>
  <si>
    <t>03062280718</t>
  </si>
  <si>
    <t>IT35 K 02008 15700 000010517119</t>
  </si>
  <si>
    <t>RUP= Alessandro Frigiola; Segreteraio generale comune dott. Francesca PERRONE 099.8297918 340.3316803 segretario@comune.laterza.ta.it</t>
  </si>
  <si>
    <t>costo finale dopo GARA</t>
  </si>
  <si>
    <t>080-4394178 - 0804394164 giuseppe cantanna 3294363774</t>
  </si>
  <si>
    <t>Piazza Pisanelli</t>
  </si>
  <si>
    <t>Caterina Mastrogiovanni 320 4323697</t>
  </si>
  <si>
    <t>0832.892522 - 0832.891122</t>
  </si>
  <si>
    <t>IV_SPESA</t>
  </si>
  <si>
    <t>IV_CONTRIBUTO</t>
  </si>
  <si>
    <t>IVquotaUESTATO</t>
  </si>
  <si>
    <t>IVquotaregione</t>
  </si>
  <si>
    <t>IVquotaRep</t>
  </si>
  <si>
    <t>IVdatarep</t>
  </si>
  <si>
    <t>IV_MANDATO 
Ue/S - Reg</t>
  </si>
  <si>
    <t>IV_MANDATO DATA</t>
  </si>
  <si>
    <t>IMPORTI IV Quota</t>
  </si>
  <si>
    <t>9270-9363</t>
  </si>
  <si>
    <t>Corso Roma, 18 - 70016 Noicattaro (Ba)</t>
  </si>
  <si>
    <t>Banca CARIME Spa, Agenzia di Noicattaro</t>
  </si>
  <si>
    <t>CST TARANTO FAS</t>
  </si>
  <si>
    <t>CST TARANTO POR</t>
  </si>
  <si>
    <t>CAPSDA SALVE CIPE</t>
  </si>
  <si>
    <t>CAPSDA MONTI DAUNI MERID CIPE</t>
  </si>
  <si>
    <t>CAPSDA MONTI DAUNI SETTENTRIONALI CIPE</t>
  </si>
  <si>
    <t>CAPSDA TECNOPOLIS</t>
  </si>
  <si>
    <t>CST - CAPSDA</t>
  </si>
  <si>
    <t>0832 899235</t>
  </si>
  <si>
    <t>IT04O0100003245432300063990</t>
  </si>
  <si>
    <t>info@comune.vernole.le.it info@isolasalento.org</t>
  </si>
  <si>
    <t>PROV. FOGGIA</t>
  </si>
  <si>
    <t>Banca di Credito Coopertivo dii Alberobello e Sammichele di Bari</t>
  </si>
  <si>
    <t>0881.541500 centralino - 541510 arch venditti - 541502 flaminio</t>
  </si>
  <si>
    <t>0881-541520</t>
  </si>
  <si>
    <t>al repertorio</t>
  </si>
  <si>
    <t>20746-20832</t>
  </si>
  <si>
    <t>mandati</t>
  </si>
  <si>
    <t>data mandati</t>
  </si>
  <si>
    <t>SISTO Giuseppe   - Funzionario Regionale;
MORGANTE Leonardo  - Iscritto Albo Regionale collaudatori;
MORETTI Andrea  - Iscritto Elenco esperti area economia;</t>
  </si>
  <si>
    <t>Lecce, Galatina, Galatone, Lecce, Lequile, Nardò, San Cesario di  Lecce, San Donato di Lecce, San Pietro in Lama, Castelnuovo della Daunia, Chieuti, Poggio Imperiale, San Paolo Civitate, San Severo, Serracapriola</t>
  </si>
  <si>
    <t>437-4319</t>
  </si>
  <si>
    <t>11719-11806</t>
  </si>
  <si>
    <t>14355-14480</t>
  </si>
  <si>
    <t>7075-7163</t>
  </si>
  <si>
    <t>12560-12814</t>
  </si>
  <si>
    <t>12563-12818</t>
  </si>
  <si>
    <t>9438-9632</t>
  </si>
  <si>
    <t>14723-14764</t>
  </si>
  <si>
    <t>12561-12815</t>
  </si>
  <si>
    <t>4235-4317</t>
  </si>
  <si>
    <t>10427-10523</t>
  </si>
  <si>
    <t>10439-10524</t>
  </si>
  <si>
    <t>4340-4424</t>
  </si>
  <si>
    <t>7078-7166</t>
  </si>
  <si>
    <t>14797</t>
  </si>
  <si>
    <t>7077-7165</t>
  </si>
  <si>
    <t>7076-7164</t>
  </si>
  <si>
    <t>4339-4423</t>
  </si>
  <si>
    <t>1328-1381</t>
  </si>
  <si>
    <t>10446-10530</t>
  </si>
  <si>
    <t>9301-9388</t>
  </si>
  <si>
    <t>15721-15806</t>
  </si>
  <si>
    <t>6135</t>
  </si>
  <si>
    <t>3457</t>
  </si>
  <si>
    <t>360</t>
  </si>
  <si>
    <t>13854-15468</t>
  </si>
  <si>
    <t>Via Anfiteatro</t>
  </si>
  <si>
    <t>099/4587227-331 cell 3356839676</t>
  </si>
  <si>
    <t>099/4593821</t>
  </si>
  <si>
    <t>pit6@provincia.ta.it</t>
  </si>
  <si>
    <t>16270-16346</t>
  </si>
  <si>
    <t>15639</t>
  </si>
  <si>
    <t>099-9702249 CEL 329-7509310</t>
  </si>
  <si>
    <t>urp@comune.brindisi.it</t>
  </si>
  <si>
    <t>SPESA PREVISTA</t>
  </si>
  <si>
    <t>SPESA EFFETTUATA</t>
  </si>
  <si>
    <t>SPESA RESTANTE</t>
  </si>
  <si>
    <t>CONTRIBUTO PREVISTO</t>
  </si>
  <si>
    <t>ANTICIPAZIONE</t>
  </si>
  <si>
    <t>LIQUIDATO SU SAL</t>
  </si>
  <si>
    <t>CONTRIBUTO RESTANTE</t>
  </si>
  <si>
    <t>TOTALE CONTRIBUTO (con antic)</t>
  </si>
  <si>
    <t>da erogare con la rendicontazione prossima n.4</t>
  </si>
  <si>
    <t>CONTRIBUTO SU SAL / CONTRIBUTO PREVISTO</t>
  </si>
  <si>
    <t>17844-17924</t>
  </si>
  <si>
    <t>17846-17928</t>
  </si>
  <si>
    <t>da fare</t>
  </si>
  <si>
    <t>Banca Carime</t>
  </si>
  <si>
    <t>Corso Roma - Brindisi</t>
  </si>
  <si>
    <t>10576</t>
  </si>
  <si>
    <t>CIN/CAB/ABI/IBAN</t>
  </si>
  <si>
    <t>I / 15900 / 03067 / IT05I30671900000000010576</t>
  </si>
  <si>
    <t>Banca Carime di Lucera</t>
  </si>
  <si>
    <t>Via 4 Novembre, 77 - Lucera</t>
  </si>
  <si>
    <t>24334-24495</t>
  </si>
  <si>
    <t>IMPRESE E PROFESSIONI</t>
  </si>
  <si>
    <t>PROGETTI PILOTA</t>
  </si>
  <si>
    <t>TOTALE</t>
  </si>
  <si>
    <t>COMUNI - EGOV - SINTESI - PIT - PIS - CST - CAPSDA</t>
  </si>
  <si>
    <t>laporta@carlantino.montidauni.fg.it</t>
  </si>
  <si>
    <t>080-5776050 - 080-5776071</t>
  </si>
  <si>
    <t>IT11Z 01030 41480 000000051601</t>
  </si>
  <si>
    <t>IT35K0200815700000010517119</t>
  </si>
  <si>
    <t>IT30C 05385 15805 000099999999</t>
  </si>
  <si>
    <t>Francesco Ficarella- pit manager e rup. maria anna giordano 349-5892301</t>
  </si>
  <si>
    <t>PROV. BRINDISI</t>
  </si>
  <si>
    <t>IT45B0306915910615306233647</t>
  </si>
  <si>
    <t>IT67T0100504070000000218000</t>
  </si>
  <si>
    <t>IT56P0526279748T20990000281</t>
  </si>
  <si>
    <t>080-4836264 - 4836303</t>
  </si>
  <si>
    <t xml:space="preserve">f.ficarella@comune.bari.it </t>
  </si>
  <si>
    <t>19890-19971</t>
  </si>
  <si>
    <t>Piazza Saragat - Zona PIP</t>
  </si>
  <si>
    <t>Banca Popolare di Milano, Sede di Monte S. Angelo</t>
  </si>
  <si>
    <t>IT25F0558478490000000007000</t>
  </si>
  <si>
    <t>1222-1298</t>
  </si>
  <si>
    <t>1216-1297</t>
  </si>
  <si>
    <t>Banco di Napoli</t>
  </si>
  <si>
    <t xml:space="preserve">04198 - 01010 </t>
  </si>
  <si>
    <t>1105-1202</t>
  </si>
  <si>
    <t>Progr.</t>
  </si>
  <si>
    <t>Cod</t>
  </si>
  <si>
    <t>Riferimenti</t>
  </si>
  <si>
    <t>Rappresentante</t>
  </si>
  <si>
    <t>città</t>
  </si>
  <si>
    <t>prov</t>
  </si>
  <si>
    <t>via</t>
  </si>
  <si>
    <t>numero</t>
  </si>
  <si>
    <t>cap</t>
  </si>
  <si>
    <t>COSTO PROGETTO CON IVA</t>
  </si>
  <si>
    <t>TOT CONTR CON IVA</t>
  </si>
  <si>
    <t>Avvio progetto</t>
  </si>
  <si>
    <t>Durata progetto</t>
  </si>
  <si>
    <t>scadenza</t>
  </si>
  <si>
    <t>Dich. Chiusura</t>
  </si>
  <si>
    <t>Valore dell'investimento</t>
  </si>
  <si>
    <t>Compenso Base</t>
  </si>
  <si>
    <t>COLLAUDATORI</t>
  </si>
  <si>
    <t>Notifica</t>
  </si>
  <si>
    <t>Accettazione</t>
  </si>
  <si>
    <t>Insediamento</t>
  </si>
  <si>
    <t>Visita in loco
e chiusura</t>
  </si>
  <si>
    <t>Verbale</t>
  </si>
  <si>
    <t>Liquidazione</t>
  </si>
  <si>
    <t>328-6277627 0881728203 carlo poppa - roberto papadia 0881775695 3498750900</t>
  </si>
  <si>
    <t>0881-790915</t>
  </si>
  <si>
    <t>Carlo Poppa</t>
  </si>
  <si>
    <t>Zara</t>
  </si>
  <si>
    <t>x</t>
  </si>
  <si>
    <t>INTERNI</t>
  </si>
  <si>
    <t>X</t>
  </si>
  <si>
    <t>0832-398887</t>
  </si>
  <si>
    <t>Dott. Raffaele De Santis</t>
  </si>
  <si>
    <t>Ugo Foscolo</t>
  </si>
  <si>
    <t>080-5421451- Mediterranea Elisa Civitella 080/5249818 - Grifo Ulloa antonio 080-4670298</t>
  </si>
  <si>
    <t>080-5421683</t>
  </si>
  <si>
    <t>Luigi D'Ambrosio Lettieri</t>
  </si>
  <si>
    <t>Devitofrancesco</t>
  </si>
  <si>
    <t>4/C</t>
  </si>
  <si>
    <t>Vito Manzari 3403697621 Elsa D'Alo 0805027888 - 3404741396</t>
  </si>
  <si>
    <t>080-5027195</t>
  </si>
  <si>
    <t>Vito Manzari</t>
  </si>
  <si>
    <t>Via Omodeo</t>
  </si>
  <si>
    <t>Nicola Digirolamo
Monica Di Giuseppe
Aleddandro Rizzo</t>
  </si>
  <si>
    <t xml:space="preserve">
70 06/02/09
71 06/02/09</t>
  </si>
  <si>
    <t>Giannoccari 0832-263069 3471758993</t>
  </si>
  <si>
    <t>0832-261185</t>
  </si>
  <si>
    <t>Salvatore Giannaccari</t>
  </si>
  <si>
    <t>Lequile</t>
  </si>
  <si>
    <t>San Pietro in Lama</t>
  </si>
  <si>
    <t>Antonio Tramacere
Felice Bitetti
Michele Valeriano</t>
  </si>
  <si>
    <t>73 06/02/09
72 06/02/09
487 30/10/08</t>
  </si>
  <si>
    <t>0832-317152 - 312857(sig.ra Basile) - Vinicio Russo Soin2000 consl. 0832-217504; 328-3875709</t>
  </si>
  <si>
    <t>0832-318359</t>
  </si>
  <si>
    <t>Savatore Riccardo Monsellato</t>
  </si>
  <si>
    <t>Nazario Sauro</t>
  </si>
  <si>
    <t>Giuseppe Puzzovio
Paola Tana
Michele Valeriano</t>
  </si>
  <si>
    <t>Notificata a mano
Via Taranto, 253 - Lecce
Sede</t>
  </si>
  <si>
    <t>Ok
Ok
Ok</t>
  </si>
  <si>
    <t>01/12/2008
10:00</t>
  </si>
  <si>
    <t>Assopim 080.3113982 tel e FAX 080.3115200 Sig.ra Martimucci Lucia 3495051557 e  Mangiatordi Michele consul assopim cel 3283604899. Consorzio PROAPI dott.ssa Martucci Paola 338,2786349 / 080-5741940 Martino Carlo pres: 080-3103858</t>
  </si>
  <si>
    <t>080-3149656</t>
  </si>
  <si>
    <t>Carlo Maria Martino</t>
  </si>
  <si>
    <t>Altamura</t>
  </si>
  <si>
    <t>Catania</t>
  </si>
  <si>
    <t>Atto 641 11/12/08
Leonardo Morgante
Francesco Rella
Michele Valeriano</t>
  </si>
  <si>
    <t>13721-13794</t>
  </si>
  <si>
    <t>xxxxxx</t>
  </si>
  <si>
    <t xml:space="preserve">Sergio Annese 347-6830666 - Manlio Cassandro 0883-534045 - 335-6277101 ARA 080/4054482 </t>
  </si>
  <si>
    <t>080-4054788</t>
  </si>
  <si>
    <t xml:space="preserve">Pietro Salcuni 0804054482 - 4054788 - 4934192 fax uguale </t>
  </si>
  <si>
    <t>Putignano</t>
  </si>
  <si>
    <t>San Nicola</t>
  </si>
  <si>
    <t>Atto 645 11/12/08
Carmine Fella
Antonio Chiarello
Michele Valeriano</t>
  </si>
  <si>
    <t>Amendolara 3357211774 - 080-5482805 Dott. Mariani - Consulente Loiudice/Gioia 0805026505 - 3355622109 - nuovo numero 0805010600</t>
  </si>
  <si>
    <t>080-5482809</t>
  </si>
  <si>
    <t>Giovanni Mongelli Foggia 8/6/57</t>
  </si>
  <si>
    <t>N. Tridente</t>
  </si>
  <si>
    <t>Vinicio Malorgio
Vincenzo Ranaldo
Dora Palmisano</t>
  </si>
  <si>
    <t>Via D. Sturzo, 7 - Tuglie
Via Via delle Forze Armate,16 - Bari
Sede</t>
  </si>
  <si>
    <t xml:space="preserve">tel 328/8865581 fabio vannella   0881-532420 - paolo di iorio 3471776756 - 3282826119 </t>
  </si>
  <si>
    <t xml:space="preserve">0881-530664 tel e fax </t>
  </si>
  <si>
    <t>Antonio Dell'Aquila</t>
  </si>
  <si>
    <t>Piave</t>
  </si>
  <si>
    <t>Claudio Cordisco
Gianfranco Melissano
Michele Camporeale</t>
  </si>
  <si>
    <t>06/11/2008
01/12/2008</t>
  </si>
  <si>
    <t>080-5613578 - 080-5610516</t>
  </si>
  <si>
    <t>080-5610336</t>
  </si>
  <si>
    <t>Valter Sergi</t>
  </si>
  <si>
    <t xml:space="preserve">S.Matarrese </t>
  </si>
  <si>
    <t>2/O</t>
  </si>
  <si>
    <t>Scarpelli Virgilio
D'Andria Pierfrancesco
Valeriano Michele</t>
  </si>
  <si>
    <t>Via Amendola, 219 - Bari 3391167023
Via Cancello Rotto - Bari 3337732363
Sede</t>
  </si>
  <si>
    <t>Sgherza, Laforgia  080-5289753 fax 5220665 / Paola Stifanelli 0832-443900 - 339-8767417</t>
  </si>
  <si>
    <t>080-5220665</t>
  </si>
  <si>
    <t>Francesco Sgherza</t>
  </si>
  <si>
    <t>Putignani</t>
  </si>
  <si>
    <t>12/A</t>
  </si>
  <si>
    <t>Antonio Nestola
Alessandro Pagliardini
Dora Palmisano</t>
  </si>
  <si>
    <t>Via Matteotti, 2 - Porto Cesareo
Via N. Di Palma - Campi Salentina
Sede</t>
  </si>
  <si>
    <t xml:space="preserve">Candida Bitetto 3357512075 - </t>
  </si>
  <si>
    <t>080-5482235</t>
  </si>
  <si>
    <t>Francesco Mazzoccoli</t>
  </si>
  <si>
    <t>Amendola</t>
  </si>
  <si>
    <t>172/C</t>
  </si>
  <si>
    <t>Francesco Negro
Andrea Moretti
Michele Valeriano</t>
  </si>
  <si>
    <t>Piazzetta G.Lillo, 8 - Lecce 360833631
Via Caserta, 5 - Lecce 3398379491
Sede</t>
  </si>
  <si>
    <t>Ok
Ok 
Ok</t>
  </si>
  <si>
    <t>Ing, Manciulli 0832284111 - 3492371330 Giovanna De Lorenzis 347-4858513 - mmanciulli@edinform.it - tel. 0832-245472 fax0832-304406 - federazione 080-5547405</t>
  </si>
  <si>
    <t>080-5547421</t>
  </si>
  <si>
    <t>Cosimo Fonseca</t>
  </si>
  <si>
    <t>Viale Japigia</t>
  </si>
  <si>
    <t>Fernando Strafella
Chiarello Antonio
Michele Valeriano</t>
  </si>
  <si>
    <t>Via Luzzatti, 6 - Nardò
Via Novaglie - Corsano
Sede</t>
  </si>
  <si>
    <t xml:space="preserve">
Ok 
Ok</t>
  </si>
  <si>
    <t>CNA 080-5486931 fax: 080-5486939 - 349 26 97 740 Samanta Di Comite</t>
  </si>
  <si>
    <t>080-5486939</t>
  </si>
  <si>
    <t>Giovanni Brigante</t>
  </si>
  <si>
    <t>Viale Einaudi</t>
  </si>
  <si>
    <t>51</t>
  </si>
  <si>
    <t>Vincenzo Maniglio
Indino Luigi Giovanni
Dora Palmisano</t>
  </si>
  <si>
    <t>Via Coraffia, 1/D - Castrignano De' Greci 
Via C. Beccaria - Lucugnano di Tricase
Sede</t>
  </si>
  <si>
    <t>Ok 
Ok
Ok</t>
  </si>
  <si>
    <t>25/11/2008
15/12/2008</t>
  </si>
  <si>
    <t>Arch Lastilla Michele 3921152191 Vito Micunco 0805367848 335584489 5 conf: tel e fax 0805228037 Persona di riferimento: Assunta Pistolese 347-0766580- 335-5844895 Vito Micunco</t>
  </si>
  <si>
    <t>080-5228037</t>
  </si>
  <si>
    <t>Ottavio Severo</t>
  </si>
  <si>
    <t>Via Putignani</t>
  </si>
  <si>
    <t>Vincenzo Ingrosso
Andrea Cudazzo
Michele Valeriano</t>
  </si>
  <si>
    <t>Via Oslavia, 71 - Lecce
Via Montegrappa, 70 - Galatina
Sede</t>
  </si>
  <si>
    <t>Amendolara 3357211774 - Consulente Loiudice/Gioia 0805026505- nuovo numero 0805010600</t>
  </si>
  <si>
    <t>Salvatore Matarrese</t>
  </si>
  <si>
    <t>Paolo Tremamunno
Gianfranco Melissano
Michele Valeriano</t>
  </si>
  <si>
    <t>sost. Carmelo Giugno
Via Ascoli, 15 - Cutrofiano (Le)
Sede</t>
  </si>
  <si>
    <t>Franco Catapano 3357375013 Wanda Pucci 3472955747 0805616025</t>
  </si>
  <si>
    <t>080-5641379</t>
  </si>
  <si>
    <t>Antonio Barile, Altamura 30.4.56</t>
  </si>
  <si>
    <t>Matarrese</t>
  </si>
  <si>
    <t>Carmine Fella
Fabio Papadia
Nicola Digirolamo</t>
  </si>
  <si>
    <t>Via Don Donato Franco, 121 - Carmiano
Via Europa - Foggia
Sede</t>
  </si>
  <si>
    <t>Confapi Puglia</t>
  </si>
  <si>
    <t>Confapinrete</t>
  </si>
  <si>
    <t>Riccardo Figliolia 0805099808 - 3357053242 - 0805481801 - Vella Paolo - consulente Biancolillo angelica 3296183216, Emanuele Micunco 3333257535</t>
  </si>
  <si>
    <t>080-5484760</t>
  </si>
  <si>
    <t>Cristofaro Perilli</t>
  </si>
  <si>
    <t>Napoli</t>
  </si>
  <si>
    <t>329G</t>
  </si>
  <si>
    <t>Atto 644 11/12/08
Leonardo Morgante
Francesco Rella
Angela Miglionico</t>
  </si>
  <si>
    <t>Lega Regionale delle Cooperative e Mutue</t>
  </si>
  <si>
    <t>LegaCoop Puglia in Rete</t>
  </si>
  <si>
    <t>Teresa Guarnieri 3358060907</t>
  </si>
  <si>
    <t>080-5423970</t>
  </si>
  <si>
    <t>Antonio Calderaro</t>
  </si>
  <si>
    <t>G. Capruzzi</t>
  </si>
  <si>
    <t>70124</t>
  </si>
  <si>
    <t>Atto 00035 del 26/01/09
Giuseppe Puzzovio
Letizia De Giorgi
Michele Valeriano</t>
  </si>
  <si>
    <t>Associazione degli Architetti, Pianificatori, Paesaggisti e Conservatori della Puglia</t>
  </si>
  <si>
    <t>ARCH On-Line</t>
  </si>
  <si>
    <t>080-5539705 Marco Iannone fax 0805559606 - Francesca Cavicchia 348,9261553 - Giovanna Calabrese 0805539705 - Viesti (Getronics) 080-3855494, 348-4754077</t>
  </si>
  <si>
    <t>080-5559606</t>
  </si>
  <si>
    <t>Claudio Certini, Putignano 3.3.55</t>
  </si>
  <si>
    <t>Japigia</t>
  </si>
  <si>
    <t>Atto 646 11/12/08
Assunto Vito Laricchiuta
Andrea Moretti
Michele Valeriano</t>
  </si>
  <si>
    <t xml:space="preserve">
andnick@tiscali,it</t>
  </si>
  <si>
    <t>Federazione Regionale della Unione Nazionale Cooperative Italiane</t>
  </si>
  <si>
    <t>E-COOP Cooperative e servizi on line</t>
  </si>
  <si>
    <t>080-5542090 rag. Pinto 349-4469911 - Turturro - Eugenio Leone 3351351451</t>
  </si>
  <si>
    <t>080-5542090</t>
  </si>
  <si>
    <t>Longo Dario V. Presidente</t>
  </si>
  <si>
    <t>De Nicolo</t>
  </si>
  <si>
    <t>Atto 643 11/12/08
Leonardo Morgante
Francesco Rella
Michele Camporeale</t>
  </si>
  <si>
    <t>Unione Regionale del Commercio e del Turismo della Puglia</t>
  </si>
  <si>
    <t>INCOM</t>
  </si>
  <si>
    <t>Chiarelli Giuseppe 080 5210425 fax 080-5283311 Loiudice Maria Luisa 080 5026505 Maria Teresa Gigante 0805210425</t>
  </si>
  <si>
    <t>080-5283311</t>
  </si>
  <si>
    <t>Emanuele Papalia Taranto,20/10/41</t>
  </si>
  <si>
    <t>BA</t>
  </si>
  <si>
    <t>P.zza Moro</t>
  </si>
  <si>
    <t>Atto 642 11/12/08
Giuseppe Cafaro
Perrone Antonio
Michele Valeriano</t>
  </si>
  <si>
    <t>Federazione Ordini Dottori Agronomi e Forestali di Puglia</t>
  </si>
  <si>
    <t>Viridia</t>
  </si>
  <si>
    <t>Profin Service 0805232592 Candida Bitetto 3357512075 fax 0805237535-0805720553 - Dongiovanni Gennearo 3358281565 - 0804979652 Tecnologie avanzate - Oronzo Milillo 348-9337990 - 3932631750</t>
  </si>
  <si>
    <t>080-5614487</t>
  </si>
  <si>
    <t>Oronzo Milillo</t>
  </si>
  <si>
    <t>J.F. Kennedy</t>
  </si>
  <si>
    <t>Atto 653 12/12/08
Tramacere Antonio
Chiarello Antonio
Miglionico Angela</t>
  </si>
  <si>
    <t>Ict e conoscenza per la competitività internazionale dell'Area Metropolitana di Bari</t>
  </si>
  <si>
    <t>Luigi Traetta
Felice Bitetti
Valeriano Michele</t>
  </si>
  <si>
    <t>Via C.Colombo, 130/c - Laterza
Viale Mar Tirreno - Marina di Ginosa (Ta)
Sede</t>
  </si>
  <si>
    <r>
      <t>sig.ra Giovanna Cacciatore</t>
    </r>
    <r>
      <rPr>
        <b/>
        <sz val="8"/>
        <rFont val="Arial"/>
        <family val="2"/>
      </rPr>
      <t xml:space="preserve"> </t>
    </r>
    <r>
      <rPr>
        <sz val="8"/>
        <rFont val="Arial"/>
        <family val="2"/>
      </rPr>
      <t>tel 0832-398887- pr. Manager Dott. Dino Salamanna 328.4238988 0833-861548</t>
    </r>
  </si>
  <si>
    <t>DETERMINA COLLAUDI</t>
  </si>
  <si>
    <t>442-30/06/09</t>
  </si>
  <si>
    <t>Notifica/accettazione</t>
  </si>
  <si>
    <t>Liquidazioni</t>
  </si>
  <si>
    <t>schede finali e progetti\14_Gallipoli\riferimenti commissione Gallipoli.xls</t>
  </si>
  <si>
    <t>schede finali e progetti\16_Lecce\riferimenti commissione Lecce.xls</t>
  </si>
  <si>
    <t>schede finali e progetti\16_Lecce\16_verbale_collaudo.doc</t>
  </si>
  <si>
    <t>schede finali e progetti\18_Fasano\riferimenti commissione Fasano.xls</t>
  </si>
  <si>
    <t>..\PIS\Pis_11\PIS 11 - Polo Lecce - S.Seve\verbale_collaudo_PIS11_Lecce.doc</t>
  </si>
  <si>
    <t>eI.S.LOG.-Informazioni e servizi per la Logistica</t>
  </si>
  <si>
    <t>Anna Martina Zingarello (era Irene Rita Giordano)</t>
  </si>
  <si>
    <t>pit4@comune.santeramo.ba.it</t>
  </si>
  <si>
    <t>2401-2445</t>
  </si>
  <si>
    <t>2271-2382</t>
  </si>
  <si>
    <t>2403-2446</t>
  </si>
  <si>
    <t>San Ferdinando di Puglia - UFFICIO UNICO A BARLETTA, C.SO VITTORIO EMANUELE 94 - 70051</t>
  </si>
  <si>
    <t>0883 578401 e 348 5212783 RUP Rosa di Palma Barletta - referente progetto Mariolina Spera 0883-626218 - Archangela Loffredo Barletta 0883-578413 fax 0883 578484 - Rino Piazzolla Barletta 340-9236929.</t>
  </si>
  <si>
    <t>PIT azione C</t>
  </si>
  <si>
    <t>PIT azione B</t>
  </si>
  <si>
    <t>602B040003 PIT N. 3 - Area Metropolitana di Bari</t>
  </si>
  <si>
    <t>602B040004 PIT N. 5 VALLE D'ITRIA</t>
  </si>
  <si>
    <t>602B040005 Pit 4 - Area della Murgia</t>
  </si>
  <si>
    <t>218-27/04/09</t>
  </si>
  <si>
    <t>391-19/06/09</t>
  </si>
  <si>
    <t>PALMISANO Fedora   - Funzionario Regionale (presidente);
CHIRIACÒ Luigi   - Iscritto Albo Regionale collaudatori;Cutrofiano (Le) Via Giovanni XXIII, 12
SCIALPI Riccardo   - Iscritto Elenco esperti area economia; Martina Franca Via A. Fighera; 080-4838803</t>
  </si>
  <si>
    <t>602B040006 PIT 10 - MONTI DAUNI  - PRGETTO SETTORE - SUB APPENNINO DAUNO INTERNATIONAL</t>
  </si>
  <si>
    <t>602B040007 PIT n. 2  Area Nord Barese</t>
  </si>
  <si>
    <t>IT29N 03067 25800 000000010204</t>
  </si>
  <si>
    <t>19874-19998</t>
  </si>
  <si>
    <t>602B040008 Pit 9 Territorio Salentino Leccese</t>
  </si>
  <si>
    <t>602B040009 PIT N. 6 Taranto - Logistica Internazionale</t>
  </si>
  <si>
    <t>602B050020 PIT N.1 TAVOLIERE - PROGETTI DAT</t>
  </si>
  <si>
    <t>4095-4202</t>
  </si>
  <si>
    <t>4235-4346</t>
  </si>
  <si>
    <t>602B050021 Pit 8 Area Jonico Salentina</t>
  </si>
  <si>
    <t>602B050022 PIT 7 - BRINDISI - PROGETTO SETTORE " BRINDISI - LOGISTICA</t>
  </si>
  <si>
    <t>Comunità Montana dei monti dauni Meridionali</t>
  </si>
  <si>
    <t>Provincia di Taranto</t>
  </si>
  <si>
    <t>IT47E 03067 78580 000000010184</t>
  </si>
  <si>
    <t>3506-3608</t>
  </si>
  <si>
    <t>IT94G030674159000000010453</t>
  </si>
  <si>
    <t>IT44O 03049 79940 0B2859864290</t>
  </si>
  <si>
    <t>m.ardissone@comune.bari.it, f.debenedittis@comune.bari.it, a.cantatore@comune.bari.it</t>
  </si>
  <si>
    <t>080-5774701 sig.ra Monno seg. Cantatore - rif Rita Ardissone 0805774715 - Ing De Benedittis 3400746538 080-5774704</t>
  </si>
  <si>
    <t>IT61U 03032 78370 012000000002</t>
  </si>
  <si>
    <t>da preparare dopo ok di marasco</t>
  </si>
  <si>
    <t>0833-514234 - Adriano Ricchello 0833 - 514234 / 329 2341593</t>
  </si>
  <si>
    <t>IT53D0526279748T20990000231</t>
  </si>
  <si>
    <t>IT05I 03067 15900 000000010576</t>
  </si>
  <si>
    <t>IT39T 01010 04197 000039000130</t>
  </si>
  <si>
    <t>TOTALE SPESO</t>
  </si>
  <si>
    <t>IT70Y 05262 79748 T20990000301</t>
  </si>
  <si>
    <t>V_SPESA</t>
  </si>
  <si>
    <t>V_CONTRIBUTO</t>
  </si>
  <si>
    <t>VquotaUESTATO</t>
  </si>
  <si>
    <t>Vquotaregione</t>
  </si>
  <si>
    <t>VquotaRep</t>
  </si>
  <si>
    <t>Vdatarep</t>
  </si>
  <si>
    <t>V_MANDATO 
Ue/S - Reg</t>
  </si>
  <si>
    <t>V_MANDATO DATA</t>
  </si>
  <si>
    <t>IMPORTI V Quota</t>
  </si>
  <si>
    <t>15-09/04/09</t>
  </si>
  <si>
    <t>13-09/04/09</t>
  </si>
  <si>
    <t>Hanno rescisso il contratto con la società aggiudicataria che è fallita. Manderanno comunicazione di disdetta del progetto. Necessita determina di revoca e recupero anticipazione e disimpegno</t>
  </si>
  <si>
    <t>P.zza San Domenico</t>
  </si>
  <si>
    <t>Via roma 7 - Tricase</t>
  </si>
  <si>
    <t>IT81O 01005 16000 000000218020</t>
  </si>
  <si>
    <t>0881-814202 - Dicesare 3357053838</t>
  </si>
  <si>
    <t>TOTALE CONTRIBUTO
EROGATO</t>
  </si>
  <si>
    <t>TOTALE CONTRIBUTO EROGATO SU SPESA</t>
  </si>
  <si>
    <t>IT75Y 03049 80110 0B2860082170</t>
  </si>
  <si>
    <t>Banca Sella Sud Arditi Galati Spa</t>
  </si>
  <si>
    <t>IT12J 02008 16010 000002631672</t>
  </si>
  <si>
    <t>??</t>
  </si>
  <si>
    <t>00268080728</t>
  </si>
  <si>
    <t>0805774724/00</t>
  </si>
  <si>
    <t>dott. Roma 0831-229226 - dott. Coppola 0831-229712 - ing Padula 0831-229246</t>
  </si>
  <si>
    <t>00268880747</t>
  </si>
  <si>
    <t>Monte dei Paschi di Siena, Agenzia di Gioa del Colle</t>
  </si>
  <si>
    <t>14567-14720</t>
  </si>
  <si>
    <t>Ferramosca ing vito</t>
  </si>
  <si>
    <t>18664-18786</t>
  </si>
  <si>
    <t>18679-18799</t>
  </si>
  <si>
    <t>18680-18800</t>
  </si>
  <si>
    <t>18681-18801</t>
  </si>
  <si>
    <t>19004-19111</t>
  </si>
  <si>
    <t>SPESA EFFETT/SPESA TOTALE max = 80%</t>
  </si>
  <si>
    <t>% contributo/Contributo totale</t>
  </si>
  <si>
    <t>CONTRIBUTO TOTALE DOPO ECONOMIE</t>
  </si>
  <si>
    <t>REVOCATO</t>
  </si>
  <si>
    <t>xxxxx</t>
  </si>
  <si>
    <t>via Alessandro Fighera, 11</t>
  </si>
  <si>
    <t>23391-23461</t>
  </si>
  <si>
    <t>23344-23418</t>
  </si>
  <si>
    <t>Banca di Credito Cooperativo - Agenzia di Santeramo in Colle</t>
  </si>
  <si>
    <t>25136-25284</t>
  </si>
  <si>
    <t>22610-22685</t>
  </si>
  <si>
    <t>da approvare dopo cartaceo</t>
  </si>
  <si>
    <t>25139-25287</t>
  </si>
  <si>
    <t>22494-22578</t>
  </si>
  <si>
    <t>24679-24823</t>
  </si>
  <si>
    <t>24682-24827</t>
  </si>
  <si>
    <t>21267-21539</t>
  </si>
  <si>
    <t>24683-24828</t>
  </si>
  <si>
    <t>21867-22050</t>
  </si>
  <si>
    <t>22492-22577</t>
  </si>
  <si>
    <t>22481-22566</t>
  </si>
  <si>
    <t>Via Tirolo, 2 - Santeramo in Colle</t>
  </si>
  <si>
    <t>IT03A 08844 41680 000003163718</t>
  </si>
  <si>
    <t>FU:Giovanni Luigi Barnaba Arch. Dal 15/10/07, fu Dott.ssa Francesca Perrone, ora Pasquale Longobardi con dec del sindaco 13391 del 25/06/08</t>
  </si>
  <si>
    <t>IT23U 05385 78900 000000016130</t>
  </si>
  <si>
    <t>VIII SAL</t>
  </si>
  <si>
    <t>VIII_SPESA</t>
  </si>
  <si>
    <t>VIII_CONTRIBUTO</t>
  </si>
  <si>
    <t>VIII_quotaUESTATO</t>
  </si>
  <si>
    <t>VIII_quotaregione</t>
  </si>
  <si>
    <t>da fare att.ne ai sospesi resi positivi per euro 78548,85</t>
  </si>
  <si>
    <t>602C020032</t>
  </si>
  <si>
    <t>VIII_quotaRep</t>
  </si>
  <si>
    <t>VIII_datarep</t>
  </si>
  <si>
    <t>VIII_MANDATO 
Ue/S - Reg</t>
  </si>
  <si>
    <t>VIII_MANDATO DATA</t>
  </si>
  <si>
    <t>IMPORTI VIII Quota</t>
  </si>
  <si>
    <t>già Salvatore Avvanzo, dal 17/08/08 con del G.C. n.218 è il dott. Flaminio Giancarlo. Rif arch Venditti 0881-541510</t>
  </si>
  <si>
    <t>14812-14976</t>
  </si>
  <si>
    <t>14816-14977</t>
  </si>
  <si>
    <t>16035-16251</t>
  </si>
  <si>
    <t>16040-16256</t>
  </si>
  <si>
    <t>16043-16257</t>
  </si>
  <si>
    <t>16044-16258</t>
  </si>
  <si>
    <t>Via Arnaldo Celiberti n.7 – 70023 Gioia del Colle (Ba)</t>
  </si>
  <si>
    <t>Caterina Mastrogiovanni 3204323697 - Ornella Mariano 347-0079594</t>
  </si>
  <si>
    <t>0833-514234  0833-513605=Ornella Mariano e Daniela Bisceglie</t>
  </si>
  <si>
    <t>IT53D 05262 79748 T20990000231</t>
  </si>
  <si>
    <t>SIGRAAP</t>
  </si>
  <si>
    <t>347/PIT</t>
  </si>
  <si>
    <t>3003</t>
  </si>
  <si>
    <t>IT89V 05424 04297 000000151384</t>
  </si>
  <si>
    <t>080-3026688</t>
  </si>
  <si>
    <t>0884.568914 Tanzarella, 38 Totaro, 13 Salvemini</t>
  </si>
  <si>
    <t>0881-814202 - Dicesare 3357053838 - Assis. Mir Loreta Notarangelo 3397223345</t>
  </si>
  <si>
    <t>contributo da disimpegnare</t>
  </si>
  <si>
    <t>21868-22051</t>
  </si>
  <si>
    <t>Banca Unicredit Banca S.p.a.</t>
  </si>
  <si>
    <t>319-03/09/08</t>
  </si>
  <si>
    <t>Banca Carime Spa - Ag. San Ferdinando di Puglia</t>
  </si>
  <si>
    <t>321-03/09/08</t>
  </si>
  <si>
    <t>322-03/09/08</t>
  </si>
  <si>
    <t>323-03/09/08</t>
  </si>
  <si>
    <t>324-03/09/08</t>
  </si>
  <si>
    <t>0881-814282</t>
  </si>
  <si>
    <t>Corso Garibaldi, 1 - 71100 Foggia</t>
  </si>
  <si>
    <t>determina disimpegno</t>
  </si>
  <si>
    <t>xx</t>
  </si>
  <si>
    <t>economie totale</t>
  </si>
  <si>
    <t>economie su UE-Stato</t>
  </si>
  <si>
    <t>economie su quota regione</t>
  </si>
  <si>
    <t>attivitaproduttive@comune.casarano.le.it (rif. Ufficiale), amministrazione@pit9.it</t>
  </si>
  <si>
    <t>Proponente</t>
  </si>
  <si>
    <t>Qualità</t>
  </si>
  <si>
    <t>Innovatività</t>
  </si>
  <si>
    <t>Fattibilità</t>
  </si>
  <si>
    <t>Efficacia</t>
  </si>
  <si>
    <t>Qualità Partnership</t>
  </si>
  <si>
    <t>Sostenibilità organizzativa</t>
  </si>
  <si>
    <t>Esemplarità Trasferibilità</t>
  </si>
  <si>
    <t>Pari oppor.</t>
  </si>
  <si>
    <t>Totale</t>
  </si>
  <si>
    <t>Costo totale progetto</t>
  </si>
  <si>
    <t>Valutazione complessiva</t>
  </si>
  <si>
    <t>Proposta Ammissibilità al finanziamento</t>
  </si>
  <si>
    <t>Ulteriori dati dal progetto esecutivo?</t>
  </si>
  <si>
    <t xml:space="preserve">(*) </t>
  </si>
  <si>
    <t>(**)</t>
  </si>
  <si>
    <t>Pixel</t>
  </si>
  <si>
    <t>si</t>
  </si>
  <si>
    <t>no</t>
  </si>
  <si>
    <t>Si propone l'ammissione al finanziamento una volta valutato</t>
  </si>
  <si>
    <t>attentamente il dettaglio ulteriore sui costi esposti da richiedere</t>
  </si>
  <si>
    <t>nel progetto esecutivo!</t>
  </si>
  <si>
    <t>FONDI DELLA 900/06 FINITI. Si preleva dalla 778 del PIT8. Ci sono 1602-25 744.772,41 e 5601-26 131.430,42 prima di questa liquidazione</t>
  </si>
  <si>
    <t>Allo stato attuale, si propone la non ammissibilità al finanziamento.</t>
  </si>
  <si>
    <t>Si consiglia di richiedere comunque il progetto esecutivo!</t>
  </si>
  <si>
    <t>Sud Est Barese</t>
  </si>
  <si>
    <t>si  (condizionato) (*)</t>
  </si>
  <si>
    <t>DauniaValley</t>
  </si>
  <si>
    <t>Memoria_Con.</t>
  </si>
  <si>
    <t>no  (**)</t>
  </si>
  <si>
    <t>DAUNI_Informa</t>
  </si>
  <si>
    <t>204-16/04/09</t>
  </si>
  <si>
    <t>Sicom Dauno</t>
  </si>
  <si>
    <t>Bari</t>
  </si>
  <si>
    <t>Noicattaro</t>
  </si>
  <si>
    <t>ComMont Dauni Mer.</t>
  </si>
  <si>
    <t>ComMont Dauno Sett.</t>
  </si>
  <si>
    <t>Modugno</t>
  </si>
  <si>
    <t>Cerignola</t>
  </si>
  <si>
    <t>Carlantino</t>
  </si>
  <si>
    <t>So.SI.A</t>
  </si>
  <si>
    <t>Lucera</t>
  </si>
  <si>
    <t>Valutatore</t>
  </si>
  <si>
    <t>Aloisio</t>
  </si>
  <si>
    <t>Limone</t>
  </si>
  <si>
    <t>VISS</t>
  </si>
  <si>
    <t>San Severo</t>
  </si>
  <si>
    <t>negativo</t>
  </si>
  <si>
    <t>RETE UNITARIA</t>
  </si>
  <si>
    <t>Brindisi</t>
  </si>
  <si>
    <t>positivo</t>
  </si>
  <si>
    <t>S.I. GARGANO</t>
  </si>
  <si>
    <t>ComMont Gargano</t>
  </si>
  <si>
    <t>SO.S</t>
  </si>
  <si>
    <t>Contributo richiesto</t>
  </si>
  <si>
    <t>Martina Franca</t>
  </si>
  <si>
    <t>ITRIA2NET</t>
  </si>
  <si>
    <t>Nome Progetto</t>
  </si>
  <si>
    <t>Esposito</t>
  </si>
  <si>
    <t>Tricase</t>
  </si>
  <si>
    <t>Fasano</t>
  </si>
  <si>
    <t>Maione</t>
  </si>
  <si>
    <t>PORTALE TERR…</t>
  </si>
  <si>
    <t>Murgia-NET</t>
  </si>
  <si>
    <t>Gioia del Colle</t>
  </si>
  <si>
    <t>Casarano</t>
  </si>
  <si>
    <t>SAL.GO</t>
  </si>
  <si>
    <t>Copertino</t>
  </si>
  <si>
    <t>S.I.C.U.R.I</t>
  </si>
  <si>
    <t>MOSAIC</t>
  </si>
  <si>
    <t>Maglie</t>
  </si>
  <si>
    <t>Lecce</t>
  </si>
  <si>
    <t>SiISTEMA SAL. S.I.</t>
  </si>
  <si>
    <t>S.I.T.I.</t>
  </si>
  <si>
    <t>Gallipoli</t>
  </si>
  <si>
    <t>CITTADINI E P.A.</t>
  </si>
  <si>
    <t>Manduria</t>
  </si>
  <si>
    <t>ComMont Murgia Taran</t>
  </si>
  <si>
    <t>Ufficio 2°</t>
  </si>
  <si>
    <t>Taranto</t>
  </si>
  <si>
    <t>I.D.A</t>
  </si>
  <si>
    <t>San Ferdinando di Puglia</t>
  </si>
  <si>
    <t>F.A.R.O</t>
  </si>
  <si>
    <t>Foggia</t>
  </si>
  <si>
    <t>Sistema Satriano Onlus</t>
  </si>
  <si>
    <t>Sistema Foggia Onlus</t>
  </si>
  <si>
    <t>arrivata rend attesa ok di marasco al pagamento ultima quota</t>
  </si>
  <si>
    <t>IT21A 01005 04070 000000200000</t>
  </si>
  <si>
    <t>Sistema San Severo On</t>
  </si>
  <si>
    <t>ComMont Dauni Sett.</t>
  </si>
  <si>
    <t>Tavolier@</t>
  </si>
  <si>
    <t>FINIBUS Terrae</t>
  </si>
  <si>
    <t>Con.Test</t>
  </si>
  <si>
    <t>Conclusioni</t>
  </si>
  <si>
    <t>inammissibile</t>
  </si>
  <si>
    <t>Contributo privato</t>
  </si>
  <si>
    <t>Abbattimento HW - SW</t>
  </si>
  <si>
    <t>Abbattimento Formazione</t>
  </si>
  <si>
    <t>Abbattimento Consulenti</t>
  </si>
  <si>
    <t>Contributo da erogare</t>
  </si>
  <si>
    <t>Contributo</t>
  </si>
  <si>
    <t>Residuo</t>
  </si>
  <si>
    <t>Quota Pubblica (50%)</t>
  </si>
  <si>
    <t>Estensione  E-Gov (30% - D.I.T.)</t>
  </si>
  <si>
    <t xml:space="preserve">0881-541243 - Barbaro 338 3712197 - piacquaddio pasquale 347-5540947 </t>
  </si>
  <si>
    <t>lucera5@interfree.it impiantitecnologici@comune.lucera.fg.it</t>
  </si>
  <si>
    <t>0881-5412767250</t>
  </si>
  <si>
    <t>quotaregione</t>
  </si>
  <si>
    <t>aggregati</t>
  </si>
  <si>
    <t>nomeproponente</t>
  </si>
  <si>
    <t>nomeprogetto</t>
  </si>
  <si>
    <t>costoprogetto</t>
  </si>
  <si>
    <t>egov</t>
  </si>
  <si>
    <t>var</t>
  </si>
  <si>
    <t>dataesec</t>
  </si>
  <si>
    <t>protesec</t>
  </si>
  <si>
    <t>datacrc</t>
  </si>
  <si>
    <t>protcrc</t>
  </si>
  <si>
    <t>Progressivo</t>
  </si>
  <si>
    <t>Sede</t>
  </si>
  <si>
    <t>Via</t>
  </si>
  <si>
    <t>N.</t>
  </si>
  <si>
    <t>Cap</t>
  </si>
  <si>
    <t>Provincia</t>
  </si>
  <si>
    <t>Le</t>
  </si>
  <si>
    <t>73014</t>
  </si>
  <si>
    <t>P.I.</t>
  </si>
  <si>
    <t>C.F.</t>
  </si>
  <si>
    <t>01129720759</t>
  </si>
  <si>
    <t>Contributo Privato</t>
  </si>
  <si>
    <t>CostoEntiPubblici</t>
  </si>
  <si>
    <t>ContributoRichiesto</t>
  </si>
  <si>
    <t>dataprogetto</t>
  </si>
  <si>
    <t>protComune</t>
  </si>
  <si>
    <t>22/01/2003</t>
  </si>
  <si>
    <t>2022</t>
  </si>
  <si>
    <t>20/02/2004</t>
  </si>
  <si>
    <t>7479</t>
  </si>
  <si>
    <t>26/02/2004</t>
  </si>
  <si>
    <t>0913</t>
  </si>
  <si>
    <t>dataacquisizione</t>
  </si>
  <si>
    <t>prtacquisizione</t>
  </si>
  <si>
    <t>da approvare senza liquidaz dopo cartaceo</t>
  </si>
  <si>
    <t>costofinale</t>
  </si>
  <si>
    <t>datarepertorio</t>
  </si>
  <si>
    <t>09/06/2004</t>
  </si>
  <si>
    <t>castUeStato</t>
  </si>
  <si>
    <t>CastRegione</t>
  </si>
  <si>
    <t>dataesecutività</t>
  </si>
  <si>
    <t xml:space="preserve">P.zza Municipio </t>
  </si>
  <si>
    <t>SI</t>
  </si>
  <si>
    <t>00850530734</t>
  </si>
  <si>
    <t>Doc. integraz</t>
  </si>
  <si>
    <t>CON.TE.S.T.</t>
  </si>
  <si>
    <t>CostoPrivati</t>
  </si>
  <si>
    <t>Piazza Margherita di Savoia</t>
  </si>
  <si>
    <t>18394</t>
  </si>
  <si>
    <t>6657</t>
  </si>
  <si>
    <t>Titolo Progetto</t>
  </si>
  <si>
    <t>Data consegna alla Regione</t>
  </si>
  <si>
    <t>CONVENZIONE</t>
  </si>
  <si>
    <t>RUPAR al 01.09</t>
  </si>
  <si>
    <t>VISTO DAL CRC</t>
  </si>
  <si>
    <t>VISTO DA TECNOPOLIS</t>
  </si>
  <si>
    <t>STATO ITER</t>
  </si>
  <si>
    <t>Progetto visionato dal CRC prima della consegna ufficiale</t>
  </si>
  <si>
    <t>OSSERVAZIONI</t>
  </si>
  <si>
    <t>Comune di Bari</t>
  </si>
  <si>
    <t>Memoria è-e Conoscenza</t>
  </si>
  <si>
    <t>-</t>
  </si>
  <si>
    <t>lettera al Comune per proroga 60 gg spedita il 29 luglio 2004</t>
  </si>
  <si>
    <t>Comune di Brindisi</t>
  </si>
  <si>
    <t>La rete unitaria del sistema della PA della provincia di Brindisi</t>
  </si>
  <si>
    <t>consegnato il 20/07/2004</t>
  </si>
  <si>
    <t>OK</t>
  </si>
  <si>
    <t>finita fase di controllo</t>
  </si>
  <si>
    <t>Comune di Carlantino</t>
  </si>
  <si>
    <t>spedito il 30.07 prot 06.08</t>
  </si>
  <si>
    <t>No Castelluccio valmaggiore</t>
  </si>
  <si>
    <t>Comune di Casarano</t>
  </si>
  <si>
    <t>SAL.GO - Salento Government</t>
  </si>
  <si>
    <t>spedito 30.07 prot 04.08</t>
  </si>
  <si>
    <t>non completa documentazione x impegno</t>
  </si>
  <si>
    <t>Comune di Fasano</t>
  </si>
  <si>
    <t>Portale Territoriale Intercomunale</t>
  </si>
  <si>
    <t>spedito il 02.07.2004 prot. 07/07/2004</t>
  </si>
  <si>
    <t xml:space="preserve"> </t>
  </si>
  <si>
    <t>mandata e -mail con osservazioni il 19 luglio, le stesse riportate sulla scheda criticità</t>
  </si>
  <si>
    <t>Comune di Foggia</t>
  </si>
  <si>
    <t>FARO</t>
  </si>
  <si>
    <t>consegnato il 27.07.04</t>
  </si>
  <si>
    <t>No Castelluccio Valmaggiore e S.Agata di P.</t>
  </si>
  <si>
    <t>Comune di Gallipoli</t>
  </si>
  <si>
    <t>S.I.T.I.- Sistema Informativo Turistico Innovativo</t>
  </si>
  <si>
    <t>prima consegna 20/92/2004 e consegna definitiva 27/04/2004</t>
  </si>
  <si>
    <t>NULLA OSTA</t>
  </si>
  <si>
    <t xml:space="preserve">arrivata convenzione firmata </t>
  </si>
  <si>
    <t>Comune di Gioia del Colle</t>
  </si>
  <si>
    <t>I SAL</t>
  </si>
  <si>
    <t>II SAL</t>
  </si>
  <si>
    <t>III SAL</t>
  </si>
  <si>
    <t>IV SAL</t>
  </si>
  <si>
    <t>V SAL</t>
  </si>
  <si>
    <t>spedito il 30.07.04 ore 10.44 protocollo 04.08</t>
  </si>
  <si>
    <t>Comune di Lecce</t>
  </si>
  <si>
    <t>ITER-Net: IL Sistema Salento nella S.I.</t>
  </si>
  <si>
    <t>consegnato il 30.07.04 ore 11.12</t>
  </si>
  <si>
    <t>Comune di Lucera</t>
  </si>
  <si>
    <t>So.SI.A. - Sostegno Sistema Autonomie locali</t>
  </si>
  <si>
    <t>consegnato il 30.07.04 ore 13.40</t>
  </si>
  <si>
    <t>manca Casalnuovo Monterotaro (verificare aggregazione)</t>
  </si>
  <si>
    <t>Comune di Maglie</t>
  </si>
  <si>
    <t>MOSAIC - Modelli e Servizi Avanzati per l'Innovazione del Comune</t>
  </si>
  <si>
    <t>S.I.M. Murgia +</t>
  </si>
  <si>
    <t>DAJS.DIETANET</t>
  </si>
  <si>
    <t>INN.PA+&amp;SUAP+</t>
  </si>
  <si>
    <t>consegnato il 30.07.04 ore 12.40</t>
  </si>
  <si>
    <t>Comune di Manduria</t>
  </si>
  <si>
    <t>CITTADINI E P.A. nella S.I.</t>
  </si>
  <si>
    <t>prima consegna sbagliata del 23/04/2004 seconda spedizione via e-mail del 30/04/2004, ultima spedizione 04.08</t>
  </si>
  <si>
    <t>NO Manduria</t>
  </si>
  <si>
    <t>Comune di Martina Franca</t>
  </si>
  <si>
    <t>spedito il 30.07.04 e protocollato il 4 .08</t>
  </si>
  <si>
    <t>Comune di Modugno</t>
  </si>
  <si>
    <t>PIXEL - Percorso Innovativo per gli Enti Locali</t>
  </si>
  <si>
    <t>19/02/2004poi il 23/06/2004</t>
  </si>
  <si>
    <t xml:space="preserve">OK </t>
  </si>
  <si>
    <t>Progetto visto da Tecnopolis in occasione di incontro tenutosi il 1 aprile 2004.Mandata lettera di risposta del 22 luglio ad osservazioni fatte dal CRC</t>
  </si>
  <si>
    <t>Comune di Noicattaro</t>
  </si>
  <si>
    <t>Sud Est Barese on line</t>
  </si>
  <si>
    <t>spedi to il 30.07 prot 04.08</t>
  </si>
  <si>
    <t>Comune di San Ferdinando di Puglia</t>
  </si>
  <si>
    <t>222-27/04/09</t>
  </si>
  <si>
    <t>223-27/04/09</t>
  </si>
  <si>
    <t>320-03/09/08+175-04/04/09(tornata indietro e riproposta)- 224-27/04/09</t>
  </si>
  <si>
    <t>I.D.A. - Innovazione Digitale Aufidus</t>
  </si>
  <si>
    <t>spedito il 30.07 prot 04.08</t>
  </si>
  <si>
    <t>Comune di Taranto</t>
  </si>
  <si>
    <t>CON.TE.S.T.- Concertazione Telematica per il Sistema Taranto</t>
  </si>
  <si>
    <t>19/05/2004 ultima spedizione 30.07.04</t>
  </si>
  <si>
    <t>NULLAOSTA</t>
  </si>
  <si>
    <t>Comunità Montana del Gargano</t>
  </si>
  <si>
    <t>spedito il 30.07.04 protocollo 02.08.04</t>
  </si>
  <si>
    <t>29164-29502</t>
  </si>
  <si>
    <t>29174-29511</t>
  </si>
  <si>
    <t>Data Convenzione</t>
  </si>
  <si>
    <t>Convenzione</t>
  </si>
  <si>
    <t>11396</t>
  </si>
  <si>
    <t>3426</t>
  </si>
  <si>
    <t>Monte Sant'Angelo</t>
  </si>
  <si>
    <t>S. Antonio Abate</t>
  </si>
  <si>
    <t>Cagnano Varano, Carpino, Comunità Montana del Gargano, Isole Tremiti, Lesina, Manfredonia, Mattinata, Monte sant'Angelo, Peschici, Rignano Garganico, Rodi Garganico, San Giovanni Rotondo, San Marco in Lamis, Sannicandro Garganico, Vico del Gargano, Vieste</t>
  </si>
  <si>
    <t>Antcontrib30</t>
  </si>
  <si>
    <t>AntquotaUESTATO</t>
  </si>
  <si>
    <t>Antquotaregione</t>
  </si>
  <si>
    <t>datarichAnt</t>
  </si>
  <si>
    <t>42/2003</t>
  </si>
  <si>
    <t>37/2003</t>
  </si>
  <si>
    <t>41/2003</t>
  </si>
  <si>
    <t>36/2003</t>
  </si>
  <si>
    <t>11168-11371</t>
  </si>
  <si>
    <t>11403-11621</t>
  </si>
  <si>
    <t>11169-11372</t>
  </si>
  <si>
    <t>Alberobello, Castellana Grotte, Locorotondo, Martina Franca, Noci</t>
  </si>
  <si>
    <t>Piazza Roma</t>
  </si>
  <si>
    <t>20950/3028</t>
  </si>
  <si>
    <t>Acquaviva delle Fonti, Altamura, Cassano delle Murge, Gioia del Colle, Gravina in Puglia, Grumo Appula, Minervino, Poggiorsini, Santeramo in Colle, Sammichele di Bari, Spinazzola, Toritto, Turi</t>
  </si>
  <si>
    <t>---</t>
  </si>
  <si>
    <t>Capurso, Casamassima, Conversano, Mola di Bari, Monopoli, Noicattaro, Polignano a Mare, Rutigliano</t>
  </si>
  <si>
    <t>05165930727</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</si>
</sst>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 mmmm\ yyyy"/>
    <numFmt numFmtId="171" formatCode="d/m/yyyy"/>
    <numFmt numFmtId="172" formatCode="&quot;Sì&quot;;&quot;Sì&quot;;&quot;No&quot;"/>
    <numFmt numFmtId="173" formatCode="&quot;Vero&quot;;&quot;Vero&quot;;&quot;Falso&quot;"/>
    <numFmt numFmtId="174" formatCode="&quot;Attivo&quot;;&quot;Attivo&quot;;&quot;Disattivo&quot;"/>
    <numFmt numFmtId="175" formatCode="#,##0.0"/>
    <numFmt numFmtId="176" formatCode="[$€-2]\ #.##000_);[Red]\([$€-2]\ #.##000\)"/>
    <numFmt numFmtId="177" formatCode="0.0"/>
    <numFmt numFmtId="178" formatCode="#,##0.000"/>
    <numFmt numFmtId="179" formatCode="[$-410]dddd\ d\ mmmm\ yyyy"/>
    <numFmt numFmtId="180" formatCode="dd/mm/yy;@"/>
    <numFmt numFmtId="181" formatCode="dd/mm/yy"/>
    <numFmt numFmtId="182" formatCode="&quot;€&quot;\ #,##0.00"/>
    <numFmt numFmtId="183" formatCode="&quot;€&quot;\ #,##0"/>
    <numFmt numFmtId="184" formatCode="[$-410]mmmm\-yy;@"/>
    <numFmt numFmtId="185" formatCode="h\.mm\.ss"/>
    <numFmt numFmtId="186" formatCode="#,##0.0000"/>
    <numFmt numFmtId="187" formatCode="[$-F400]h:mm:ss\ AM/PM"/>
    <numFmt numFmtId="188" formatCode="0.00000"/>
    <numFmt numFmtId="189" formatCode="0.000"/>
    <numFmt numFmtId="190" formatCode="0.0%"/>
    <numFmt numFmtId="191" formatCode="#,##0.00000"/>
    <numFmt numFmtId="192" formatCode="#,##0.000000"/>
    <numFmt numFmtId="193" formatCode="_-* #,##0.0_-;\-* #,##0.0_-;_-* &quot;-&quot;_-;_-@_-"/>
    <numFmt numFmtId="194" formatCode="_-[$€-2]\ * #,##0.00_-;\-[$€-2]\ * #,##0.00_-;_-[$€-2]\ * &quot;-&quot;??_-"/>
    <numFmt numFmtId="195" formatCode="#,##0.00;[Red]#,##0.00"/>
    <numFmt numFmtId="196" formatCode="0.000;[Red]0.000"/>
    <numFmt numFmtId="197" formatCode="_-* #,##0_-;\-* #,##0_-;_-* &quot;-&quot;??_-;_-@_-"/>
    <numFmt numFmtId="198" formatCode="d/m/yy"/>
  </numFmts>
  <fonts count="69">
    <font>
      <sz val="10"/>
      <name val="Arial"/>
      <family val="0"/>
    </font>
    <font>
      <sz val="10"/>
      <name val="Verdana"/>
      <family val="2"/>
    </font>
    <font>
      <u val="single"/>
      <sz val="10"/>
      <color indexed="12"/>
      <name val="Verdana"/>
      <family val="2"/>
    </font>
    <font>
      <sz val="9"/>
      <name val="Verdana"/>
      <family val="2"/>
    </font>
    <font>
      <i/>
      <sz val="10"/>
      <name val="Verdana"/>
      <family val="2"/>
    </font>
    <font>
      <sz val="10"/>
      <color indexed="10"/>
      <name val="Verdana"/>
      <family val="2"/>
    </font>
    <font>
      <sz val="9"/>
      <color indexed="17"/>
      <name val="Verdana"/>
      <family val="2"/>
    </font>
    <font>
      <sz val="10"/>
      <color indexed="17"/>
      <name val="Verdana"/>
      <family val="2"/>
    </font>
    <font>
      <sz val="10"/>
      <color indexed="23"/>
      <name val="Verdana"/>
      <family val="2"/>
    </font>
    <font>
      <sz val="9"/>
      <color indexed="23"/>
      <name val="Verdana"/>
      <family val="2"/>
    </font>
    <font>
      <sz val="10"/>
      <color indexed="12"/>
      <name val="Verdana"/>
      <family val="2"/>
    </font>
    <font>
      <sz val="8"/>
      <name val="Tahoma"/>
      <family val="2"/>
    </font>
    <font>
      <b/>
      <sz val="8"/>
      <name val="Tahoma"/>
      <family val="2"/>
    </font>
    <font>
      <u val="single"/>
      <sz val="10"/>
      <color indexed="36"/>
      <name val="Arial"/>
      <family val="2"/>
    </font>
    <font>
      <b/>
      <sz val="10"/>
      <name val="Times New Roman"/>
      <family val="1"/>
    </font>
    <font>
      <sz val="10"/>
      <name val="Times New Roman"/>
      <family val="1"/>
    </font>
    <font>
      <sz val="12"/>
      <name val="Times New Roman"/>
      <family val="1"/>
    </font>
    <font>
      <sz val="9"/>
      <name val="Arial"/>
      <family val="2"/>
    </font>
    <font>
      <sz val="9"/>
      <color indexed="48"/>
      <name val="Arial"/>
      <family val="2"/>
    </font>
    <font>
      <sz val="9"/>
      <color indexed="12"/>
      <name val="Arial"/>
      <family val="2"/>
    </font>
    <font>
      <sz val="9"/>
      <color indexed="21"/>
      <name val="Arial"/>
      <family val="2"/>
    </font>
    <font>
      <sz val="9"/>
      <color indexed="10"/>
      <name val="Arial"/>
      <family val="2"/>
    </font>
    <font>
      <b/>
      <sz val="9"/>
      <color indexed="21"/>
      <name val="Arial"/>
      <family val="2"/>
    </font>
    <font>
      <u val="single"/>
      <sz val="9"/>
      <color indexed="10"/>
      <name val="Arial"/>
      <family val="2"/>
    </font>
    <font>
      <b/>
      <sz val="9"/>
      <color indexed="10"/>
      <name val="Arial"/>
      <family val="2"/>
    </font>
    <font>
      <u val="single"/>
      <sz val="9"/>
      <color indexed="12"/>
      <name val="Arial"/>
      <family val="2"/>
    </font>
    <font>
      <u val="single"/>
      <sz val="9"/>
      <name val="Arial"/>
      <family val="2"/>
    </font>
    <font>
      <b/>
      <sz val="9"/>
      <name val="Arial"/>
      <family val="2"/>
    </font>
    <font>
      <sz val="9"/>
      <color indexed="49"/>
      <name val="Arial"/>
      <family val="2"/>
    </font>
    <font>
      <sz val="9"/>
      <color indexed="57"/>
      <name val="Arial"/>
      <family val="2"/>
    </font>
    <font>
      <b/>
      <u val="single"/>
      <sz val="9"/>
      <name val="Arial"/>
      <family val="2"/>
    </font>
    <font>
      <b/>
      <sz val="9"/>
      <color indexed="48"/>
      <name val="Arial"/>
      <family val="2"/>
    </font>
    <font>
      <b/>
      <sz val="9"/>
      <color indexed="49"/>
      <name val="Arial"/>
      <family val="2"/>
    </font>
    <font>
      <i/>
      <sz val="9"/>
      <name val="Arial"/>
      <family val="2"/>
    </font>
    <font>
      <sz val="12"/>
      <name val="Arial"/>
      <family val="2"/>
    </font>
    <font>
      <b/>
      <sz val="12"/>
      <name val="Arial"/>
      <family val="2"/>
    </font>
    <font>
      <sz val="10"/>
      <name val="Arial Unicode MS"/>
      <family val="2"/>
    </font>
    <font>
      <b/>
      <sz val="9"/>
      <color indexed="12"/>
      <name val="Arial"/>
      <family val="2"/>
    </font>
    <font>
      <b/>
      <u val="single"/>
      <sz val="9"/>
      <color indexed="10"/>
      <name val="Arial"/>
      <family val="2"/>
    </font>
    <font>
      <b/>
      <sz val="9"/>
      <color indexed="57"/>
      <name val="Arial"/>
      <family val="2"/>
    </font>
    <font>
      <sz val="9"/>
      <name val="Arial Unicode MS"/>
      <family val="2"/>
    </font>
    <font>
      <sz val="9"/>
      <color indexed="8"/>
      <name val="Arial"/>
      <family val="2"/>
    </font>
    <font>
      <u val="single"/>
      <sz val="10"/>
      <color indexed="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0"/>
    </font>
    <font>
      <sz val="8"/>
      <color indexed="10"/>
      <name val="Arial"/>
      <family val="2"/>
    </font>
    <font>
      <b/>
      <sz val="8"/>
      <color indexed="17"/>
      <name val="Arial"/>
      <family val="2"/>
    </font>
    <font>
      <sz val="8"/>
      <color indexed="17"/>
      <name val="Arial"/>
      <family val="2"/>
    </font>
    <font>
      <b/>
      <sz val="10"/>
      <color indexed="57"/>
      <name val="Arial"/>
      <family val="2"/>
    </font>
    <font>
      <b/>
      <sz val="8"/>
      <color indexed="10"/>
      <name val="Arial"/>
      <family val="2"/>
    </font>
    <font>
      <b/>
      <sz val="8"/>
      <name val="Arial"/>
      <family val="2"/>
    </font>
    <font>
      <b/>
      <sz val="10"/>
      <name val="Arial"/>
      <family val="2"/>
    </font>
    <font>
      <sz val="10"/>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
      <patternFill patternType="solid">
        <fgColor indexed="50"/>
        <bgColor indexed="64"/>
      </patternFill>
    </fill>
    <fill>
      <patternFill patternType="solid">
        <fgColor indexed="40"/>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thin"/>
      <right style="thin"/>
      <top>
        <color indexed="63"/>
      </top>
      <bottom style="hair"/>
    </border>
    <border>
      <left style="thin"/>
      <right style="thin"/>
      <top style="hair"/>
      <bottom style="thin"/>
    </border>
    <border>
      <left style="hair"/>
      <right style="hair"/>
      <top style="hair"/>
      <bottom style="thin"/>
    </border>
    <border>
      <left style="thin"/>
      <right style="thin"/>
      <top style="thin"/>
      <bottom style="hair"/>
    </border>
    <border>
      <left style="thin"/>
      <right style="thin"/>
      <top style="hair"/>
      <bottom style="hair"/>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color indexed="63"/>
      </left>
      <right style="hair"/>
      <top style="thin"/>
      <bottom>
        <color indexed="63"/>
      </bottom>
    </border>
    <border>
      <left style="hair"/>
      <right style="hair"/>
      <top style="thin"/>
      <bottom style="thin"/>
    </border>
    <border>
      <left>
        <color indexed="63"/>
      </left>
      <right style="hair"/>
      <top style="thin"/>
      <bottom style="thin"/>
    </border>
    <border>
      <left style="hair"/>
      <right style="thin"/>
      <top style="thin"/>
      <bottom style="thin"/>
    </border>
    <border>
      <left style="hair"/>
      <right style="hair"/>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9"/>
      </left>
      <right>
        <color indexed="63"/>
      </right>
      <top>
        <color indexed="63"/>
      </top>
      <bottom>
        <color indexed="63"/>
      </bottom>
    </border>
    <border>
      <left>
        <color indexed="63"/>
      </left>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0" borderId="2" applyNumberFormat="0" applyFill="0" applyAlignment="0" applyProtection="0"/>
    <xf numFmtId="0" fontId="47" fillId="17" borderId="3" applyNumberFormat="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194" fontId="0" fillId="0" borderId="0" applyFont="0" applyFill="0" applyBorder="0" applyAlignment="0" applyProtection="0"/>
    <xf numFmtId="0" fontId="4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2" borderId="0" applyNumberFormat="0" applyBorder="0" applyAlignment="0" applyProtection="0"/>
    <xf numFmtId="0" fontId="0" fillId="23" borderId="4" applyNumberFormat="0" applyFont="0" applyAlignment="0" applyProtection="0"/>
    <xf numFmtId="0" fontId="50" fillId="16"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 borderId="0" applyNumberFormat="0" applyBorder="0" applyAlignment="0" applyProtection="0"/>
    <xf numFmtId="0" fontId="5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1">
    <xf numFmtId="0" fontId="0" fillId="0" borderId="0" xfId="0" applyAlignment="1">
      <alignment/>
    </xf>
    <xf numFmtId="0" fontId="1" fillId="0" borderId="10" xfId="0" applyFont="1" applyFill="1" applyBorder="1" applyAlignment="1">
      <alignment horizontal="center"/>
    </xf>
    <xf numFmtId="4" fontId="1" fillId="0" borderId="10" xfId="0" applyNumberFormat="1" applyFont="1" applyFill="1" applyBorder="1" applyAlignment="1">
      <alignment horizontal="right"/>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xf>
    <xf numFmtId="4" fontId="1" fillId="0" borderId="13" xfId="0" applyNumberFormat="1" applyFont="1" applyFill="1" applyBorder="1" applyAlignment="1">
      <alignment horizontal="right"/>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xf>
    <xf numFmtId="0" fontId="3" fillId="0" borderId="10" xfId="0" applyFont="1" applyFill="1" applyBorder="1" applyAlignment="1">
      <alignment horizontal="left"/>
    </xf>
    <xf numFmtId="0" fontId="1" fillId="0" borderId="10" xfId="0" applyFont="1" applyFill="1" applyBorder="1" applyAlignment="1">
      <alignment horizontal="left"/>
    </xf>
    <xf numFmtId="0" fontId="3" fillId="0" borderId="10" xfId="36" applyFont="1" applyFill="1" applyBorder="1" applyAlignment="1" applyProtection="1">
      <alignment horizontal="left"/>
      <protection/>
    </xf>
    <xf numFmtId="0" fontId="1" fillId="0" borderId="17" xfId="0" applyFont="1" applyFill="1" applyBorder="1" applyAlignment="1">
      <alignment horizontal="center"/>
    </xf>
    <xf numFmtId="0" fontId="1" fillId="0" borderId="13" xfId="0" applyFont="1" applyFill="1" applyBorder="1" applyAlignment="1">
      <alignment horizontal="left"/>
    </xf>
    <xf numFmtId="0" fontId="1" fillId="0" borderId="0" xfId="0" applyFont="1" applyFill="1" applyBorder="1" applyAlignment="1">
      <alignment horizontal="center" vertical="center"/>
    </xf>
    <xf numFmtId="0" fontId="1" fillId="0" borderId="18"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9" xfId="0" applyFont="1" applyFill="1" applyBorder="1" applyAlignment="1">
      <alignment horizontal="center" vertical="center" textRotation="90" wrapText="1"/>
    </xf>
    <xf numFmtId="4" fontId="3" fillId="0" borderId="19" xfId="0" applyNumberFormat="1" applyFont="1" applyFill="1" applyBorder="1" applyAlignment="1">
      <alignment horizontal="center" vertical="center" textRotation="90" wrapText="1"/>
    </xf>
    <xf numFmtId="0" fontId="1" fillId="0" borderId="20" xfId="0" applyFont="1" applyFill="1" applyBorder="1" applyAlignment="1">
      <alignment horizontal="center" vertical="center" textRotation="90"/>
    </xf>
    <xf numFmtId="0" fontId="1" fillId="0" borderId="21" xfId="0" applyFont="1" applyFill="1" applyBorder="1" applyAlignment="1">
      <alignment horizontal="center" vertical="center" textRotation="90"/>
    </xf>
    <xf numFmtId="4" fontId="1" fillId="0" borderId="0" xfId="0" applyNumberFormat="1" applyFont="1" applyFill="1" applyBorder="1" applyAlignment="1">
      <alignment/>
    </xf>
    <xf numFmtId="0" fontId="1" fillId="0" borderId="22" xfId="0" applyFont="1" applyFill="1" applyBorder="1" applyAlignment="1">
      <alignment horizontal="center" vertical="center" textRotation="90" wrapText="1"/>
    </xf>
    <xf numFmtId="0" fontId="1" fillId="0" borderId="21" xfId="0" applyFont="1" applyFill="1" applyBorder="1" applyAlignment="1">
      <alignment horizontal="center" vertical="center" textRotation="90" wrapText="1"/>
    </xf>
    <xf numFmtId="0" fontId="1" fillId="0" borderId="21" xfId="0" applyFont="1" applyFill="1" applyBorder="1" applyAlignment="1">
      <alignment/>
    </xf>
    <xf numFmtId="0" fontId="1" fillId="0" borderId="21" xfId="0" applyFont="1" applyFill="1" applyBorder="1" applyAlignment="1">
      <alignment horizontal="center"/>
    </xf>
    <xf numFmtId="0" fontId="1" fillId="0" borderId="23"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 fillId="0" borderId="24" xfId="0" applyFont="1" applyFill="1" applyBorder="1" applyAlignment="1">
      <alignment horizontal="center"/>
    </xf>
    <xf numFmtId="0" fontId="1" fillId="0" borderId="0" xfId="0" applyFont="1" applyFill="1" applyBorder="1" applyAlignment="1">
      <alignment horizontal="center" vertical="center" textRotation="90" wrapText="1"/>
    </xf>
    <xf numFmtId="0" fontId="1" fillId="0" borderId="25" xfId="0" applyFont="1" applyFill="1" applyBorder="1" applyAlignment="1">
      <alignment horizontal="center"/>
    </xf>
    <xf numFmtId="0" fontId="1" fillId="0" borderId="25" xfId="0" applyFont="1" applyFill="1" applyBorder="1" applyAlignment="1">
      <alignment horizontal="center" vertical="center"/>
    </xf>
    <xf numFmtId="0" fontId="1" fillId="0" borderId="25" xfId="0" applyFont="1" applyFill="1" applyBorder="1" applyAlignment="1">
      <alignment/>
    </xf>
    <xf numFmtId="0" fontId="1" fillId="0" borderId="26"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26" xfId="0" applyFont="1" applyFill="1" applyBorder="1" applyAlignment="1">
      <alignment/>
    </xf>
    <xf numFmtId="0" fontId="4" fillId="0" borderId="26" xfId="0" applyFont="1" applyFill="1" applyBorder="1" applyAlignment="1">
      <alignment/>
    </xf>
    <xf numFmtId="0" fontId="1" fillId="0" borderId="27" xfId="0" applyFont="1" applyFill="1" applyBorder="1" applyAlignment="1">
      <alignment/>
    </xf>
    <xf numFmtId="0" fontId="1" fillId="0" borderId="0" xfId="0" applyFont="1" applyFill="1" applyBorder="1" applyAlignment="1">
      <alignment horizontal="left"/>
    </xf>
    <xf numFmtId="4" fontId="1" fillId="0" borderId="0" xfId="0" applyNumberFormat="1" applyFont="1" applyFill="1" applyBorder="1" applyAlignment="1">
      <alignment horizontal="right"/>
    </xf>
    <xf numFmtId="0" fontId="6" fillId="0" borderId="10" xfId="0" applyFont="1" applyFill="1" applyBorder="1" applyAlignment="1">
      <alignment horizontal="left"/>
    </xf>
    <xf numFmtId="0" fontId="7" fillId="0" borderId="10" xfId="0" applyFont="1" applyFill="1" applyBorder="1" applyAlignment="1">
      <alignment horizontal="left"/>
    </xf>
    <xf numFmtId="0" fontId="8" fillId="0" borderId="10" xfId="0" applyFont="1" applyFill="1" applyBorder="1" applyAlignment="1">
      <alignment horizontal="left"/>
    </xf>
    <xf numFmtId="0" fontId="5" fillId="0" borderId="10" xfId="0" applyFont="1" applyFill="1" applyBorder="1" applyAlignment="1">
      <alignment horizontal="left"/>
    </xf>
    <xf numFmtId="0" fontId="9" fillId="0" borderId="10" xfId="0" applyFont="1" applyFill="1" applyBorder="1" applyAlignment="1">
      <alignment horizontal="left"/>
    </xf>
    <xf numFmtId="0" fontId="10" fillId="0" borderId="10" xfId="0" applyFont="1" applyFill="1" applyBorder="1" applyAlignment="1">
      <alignment horizontal="left"/>
    </xf>
    <xf numFmtId="0" fontId="10" fillId="0" borderId="13" xfId="0" applyFont="1" applyFill="1" applyBorder="1" applyAlignment="1">
      <alignment horizontal="left"/>
    </xf>
    <xf numFmtId="4" fontId="3" fillId="0" borderId="0" xfId="0" applyNumberFormat="1" applyFont="1" applyFill="1" applyBorder="1" applyAlignment="1">
      <alignment horizontal="center" vertical="center" textRotation="90" wrapText="1"/>
    </xf>
    <xf numFmtId="4" fontId="1" fillId="0" borderId="14" xfId="0" applyNumberFormat="1" applyFont="1" applyFill="1" applyBorder="1" applyAlignment="1">
      <alignment horizontal="center" vertical="center" textRotation="90"/>
    </xf>
    <xf numFmtId="4" fontId="1" fillId="0" borderId="15" xfId="0" applyNumberFormat="1" applyFont="1" applyFill="1" applyBorder="1" applyAlignment="1">
      <alignment/>
    </xf>
    <xf numFmtId="4" fontId="1" fillId="0" borderId="12" xfId="0" applyNumberFormat="1" applyFont="1" applyFill="1" applyBorder="1" applyAlignment="1">
      <alignment/>
    </xf>
    <xf numFmtId="4" fontId="3" fillId="0" borderId="28" xfId="0" applyNumberFormat="1" applyFont="1" applyFill="1" applyBorder="1" applyAlignment="1">
      <alignment horizontal="center" vertical="center" textRotation="90" wrapText="1"/>
    </xf>
    <xf numFmtId="4" fontId="1" fillId="0" borderId="29" xfId="0" applyNumberFormat="1" applyFont="1" applyFill="1" applyBorder="1" applyAlignment="1">
      <alignment horizontal="right"/>
    </xf>
    <xf numFmtId="4" fontId="1" fillId="0" borderId="30" xfId="0" applyNumberFormat="1" applyFont="1" applyFill="1" applyBorder="1" applyAlignment="1">
      <alignment horizontal="right"/>
    </xf>
    <xf numFmtId="4" fontId="5" fillId="0" borderId="10" xfId="0" applyNumberFormat="1" applyFont="1" applyFill="1" applyBorder="1" applyAlignment="1">
      <alignment horizontal="right"/>
    </xf>
    <xf numFmtId="0" fontId="1" fillId="0" borderId="14" xfId="0" applyFont="1" applyFill="1" applyBorder="1" applyAlignment="1">
      <alignment horizontal="left" vertical="center" textRotation="90"/>
    </xf>
    <xf numFmtId="0" fontId="1" fillId="0" borderId="15" xfId="0" applyFont="1" applyFill="1" applyBorder="1" applyAlignment="1">
      <alignment horizontal="left"/>
    </xf>
    <xf numFmtId="0" fontId="1" fillId="0" borderId="12" xfId="0" applyFont="1" applyFill="1" applyBorder="1" applyAlignment="1">
      <alignment horizontal="left"/>
    </xf>
    <xf numFmtId="0" fontId="0" fillId="0" borderId="0" xfId="0" applyAlignment="1">
      <alignment horizontal="left"/>
    </xf>
    <xf numFmtId="0" fontId="14" fillId="0" borderId="31" xfId="0" applyFont="1" applyBorder="1" applyAlignment="1">
      <alignment horizontal="center" wrapText="1"/>
    </xf>
    <xf numFmtId="49" fontId="14" fillId="0" borderId="31" xfId="0" applyNumberFormat="1" applyFont="1" applyBorder="1" applyAlignment="1">
      <alignment wrapText="1"/>
    </xf>
    <xf numFmtId="0" fontId="14" fillId="0" borderId="31" xfId="0" applyFont="1" applyBorder="1" applyAlignment="1">
      <alignment wrapText="1"/>
    </xf>
    <xf numFmtId="0" fontId="14" fillId="0" borderId="0" xfId="0" applyFont="1" applyAlignment="1">
      <alignment wrapText="1"/>
    </xf>
    <xf numFmtId="0" fontId="15" fillId="0" borderId="31" xfId="0" applyFont="1" applyBorder="1" applyAlignment="1">
      <alignment wrapText="1"/>
    </xf>
    <xf numFmtId="49" fontId="15" fillId="0" borderId="31" xfId="0" applyNumberFormat="1" applyFont="1" applyBorder="1" applyAlignment="1">
      <alignment wrapText="1"/>
    </xf>
    <xf numFmtId="0" fontId="0" fillId="0" borderId="31" xfId="0" applyBorder="1" applyAlignment="1">
      <alignment wrapText="1"/>
    </xf>
    <xf numFmtId="0" fontId="15" fillId="0" borderId="0" xfId="0" applyFont="1" applyAlignment="1">
      <alignment wrapText="1"/>
    </xf>
    <xf numFmtId="0" fontId="15" fillId="0" borderId="31" xfId="0" applyFont="1" applyFill="1" applyBorder="1" applyAlignment="1">
      <alignment wrapText="1"/>
    </xf>
    <xf numFmtId="0" fontId="15" fillId="24" borderId="31" xfId="0" applyFont="1" applyFill="1" applyBorder="1" applyAlignment="1">
      <alignment wrapText="1"/>
    </xf>
    <xf numFmtId="49" fontId="15" fillId="24" borderId="31" xfId="0" applyNumberFormat="1" applyFont="1" applyFill="1" applyBorder="1" applyAlignment="1">
      <alignment wrapText="1"/>
    </xf>
    <xf numFmtId="0" fontId="0" fillId="24" borderId="31" xfId="0" applyFill="1" applyBorder="1" applyAlignment="1">
      <alignment wrapText="1"/>
    </xf>
    <xf numFmtId="0" fontId="16" fillId="0" borderId="0" xfId="0" applyFont="1" applyBorder="1" applyAlignment="1">
      <alignment/>
    </xf>
    <xf numFmtId="0" fontId="15" fillId="0" borderId="0" xfId="0" applyFont="1" applyBorder="1" applyAlignment="1">
      <alignment wrapText="1"/>
    </xf>
    <xf numFmtId="0" fontId="16" fillId="0" borderId="0" xfId="0" applyFont="1" applyBorder="1" applyAlignment="1">
      <alignment wrapText="1"/>
    </xf>
    <xf numFmtId="49" fontId="15" fillId="0" borderId="0" xfId="0" applyNumberFormat="1" applyFont="1" applyAlignment="1">
      <alignment wrapText="1"/>
    </xf>
    <xf numFmtId="0" fontId="0" fillId="0" borderId="0" xfId="0" applyAlignment="1">
      <alignment wrapText="1"/>
    </xf>
    <xf numFmtId="0" fontId="17" fillId="0" borderId="0" xfId="0" applyFont="1" applyFill="1" applyBorder="1" applyAlignment="1">
      <alignment horizontal="center" textRotation="90"/>
    </xf>
    <xf numFmtId="4" fontId="17" fillId="0" borderId="0" xfId="0" applyNumberFormat="1" applyFont="1" applyFill="1" applyBorder="1" applyAlignment="1">
      <alignment horizontal="center" textRotation="90" wrapText="1"/>
    </xf>
    <xf numFmtId="4" fontId="17" fillId="0" borderId="0" xfId="0" applyNumberFormat="1" applyFont="1" applyFill="1" applyBorder="1" applyAlignment="1">
      <alignment horizontal="center" textRotation="90"/>
    </xf>
    <xf numFmtId="14" fontId="17" fillId="0" borderId="0" xfId="0" applyNumberFormat="1" applyFont="1" applyFill="1" applyBorder="1" applyAlignment="1">
      <alignment horizontal="center" textRotation="90"/>
    </xf>
    <xf numFmtId="171" fontId="17" fillId="0" borderId="0" xfId="0" applyNumberFormat="1" applyFont="1" applyFill="1" applyBorder="1" applyAlignment="1">
      <alignment horizontal="center" textRotation="90"/>
    </xf>
    <xf numFmtId="1" fontId="17" fillId="0" borderId="0" xfId="0" applyNumberFormat="1" applyFont="1" applyFill="1" applyBorder="1" applyAlignment="1">
      <alignment horizontal="center" textRotation="90"/>
    </xf>
    <xf numFmtId="0" fontId="17" fillId="0" borderId="0" xfId="0" applyFont="1" applyAlignment="1">
      <alignment horizontal="center" textRotation="90"/>
    </xf>
    <xf numFmtId="0" fontId="18" fillId="0" borderId="0" xfId="0" applyFont="1" applyFill="1" applyBorder="1" applyAlignment="1">
      <alignment horizontal="center" textRotation="90"/>
    </xf>
    <xf numFmtId="0" fontId="17" fillId="0" borderId="0" xfId="0" applyNumberFormat="1" applyFont="1" applyFill="1" applyBorder="1" applyAlignment="1">
      <alignment horizontal="center" textRotation="90"/>
    </xf>
    <xf numFmtId="0" fontId="20" fillId="0" borderId="0" xfId="0" applyFont="1" applyFill="1" applyBorder="1" applyAlignment="1">
      <alignment horizontal="center" textRotation="90"/>
    </xf>
    <xf numFmtId="0" fontId="20" fillId="0" borderId="0" xfId="0" applyNumberFormat="1" applyFont="1" applyFill="1" applyBorder="1" applyAlignment="1">
      <alignment horizontal="center" textRotation="90"/>
    </xf>
    <xf numFmtId="1" fontId="20" fillId="0" borderId="0" xfId="0" applyNumberFormat="1" applyFont="1" applyFill="1" applyBorder="1" applyAlignment="1">
      <alignment horizontal="center" textRotation="90" wrapText="1"/>
    </xf>
    <xf numFmtId="1" fontId="20" fillId="0" borderId="0" xfId="0" applyNumberFormat="1" applyFont="1" applyFill="1" applyBorder="1" applyAlignment="1">
      <alignment horizontal="center" textRotation="90"/>
    </xf>
    <xf numFmtId="14" fontId="20" fillId="0" borderId="0" xfId="0" applyNumberFormat="1" applyFont="1" applyFill="1" applyBorder="1" applyAlignment="1">
      <alignment horizontal="center" textRotation="90" wrapText="1"/>
    </xf>
    <xf numFmtId="14" fontId="20" fillId="0" borderId="0" xfId="0" applyNumberFormat="1" applyFont="1" applyFill="1" applyBorder="1" applyAlignment="1">
      <alignment horizontal="center" textRotation="90"/>
    </xf>
    <xf numFmtId="181" fontId="20" fillId="0" borderId="0" xfId="0" applyNumberFormat="1" applyFont="1" applyFill="1" applyBorder="1" applyAlignment="1">
      <alignment horizontal="center" textRotation="90"/>
    </xf>
    <xf numFmtId="4" fontId="21" fillId="0" borderId="0" xfId="0" applyNumberFormat="1" applyFont="1" applyFill="1" applyBorder="1" applyAlignment="1">
      <alignment horizontal="center" textRotation="90"/>
    </xf>
    <xf numFmtId="181" fontId="21" fillId="0" borderId="0" xfId="0" applyNumberFormat="1" applyFont="1" applyFill="1" applyBorder="1" applyAlignment="1">
      <alignment horizontal="center" textRotation="90"/>
    </xf>
    <xf numFmtId="0" fontId="21" fillId="0" borderId="0" xfId="0" applyFont="1" applyFill="1" applyBorder="1" applyAlignment="1">
      <alignment horizontal="center" textRotation="90"/>
    </xf>
    <xf numFmtId="14" fontId="21" fillId="0" borderId="0" xfId="0" applyNumberFormat="1" applyFont="1" applyFill="1" applyBorder="1" applyAlignment="1">
      <alignment horizontal="center" textRotation="90"/>
    </xf>
    <xf numFmtId="1" fontId="21" fillId="0" borderId="0" xfId="0" applyNumberFormat="1" applyFont="1" applyFill="1" applyBorder="1" applyAlignment="1">
      <alignment horizontal="center" textRotation="90" wrapText="1"/>
    </xf>
    <xf numFmtId="14" fontId="21" fillId="0" borderId="0" xfId="0" applyNumberFormat="1" applyFont="1" applyFill="1" applyBorder="1" applyAlignment="1">
      <alignment horizontal="center" textRotation="90" wrapText="1"/>
    </xf>
    <xf numFmtId="4" fontId="18" fillId="0" borderId="0" xfId="0" applyNumberFormat="1" applyFont="1" applyFill="1" applyBorder="1" applyAlignment="1">
      <alignment horizontal="center" textRotation="90"/>
    </xf>
    <xf numFmtId="181" fontId="18" fillId="0" borderId="0" xfId="0" applyNumberFormat="1" applyFont="1" applyFill="1" applyBorder="1" applyAlignment="1">
      <alignment horizontal="center" textRotation="90"/>
    </xf>
    <xf numFmtId="14" fontId="18" fillId="0" borderId="0" xfId="0" applyNumberFormat="1" applyFont="1" applyFill="1" applyBorder="1" applyAlignment="1">
      <alignment horizontal="center" textRotation="90"/>
    </xf>
    <xf numFmtId="1" fontId="18" fillId="0" borderId="0" xfId="0" applyNumberFormat="1" applyFont="1" applyFill="1" applyBorder="1" applyAlignment="1">
      <alignment horizontal="center" textRotation="90" wrapText="1"/>
    </xf>
    <xf numFmtId="14" fontId="18" fillId="0" borderId="0" xfId="0" applyNumberFormat="1" applyFont="1" applyFill="1" applyBorder="1" applyAlignment="1">
      <alignment horizontal="center" textRotation="90" wrapText="1"/>
    </xf>
    <xf numFmtId="4" fontId="22" fillId="0" borderId="0" xfId="0" applyNumberFormat="1" applyFont="1" applyFill="1" applyBorder="1" applyAlignment="1">
      <alignment horizontal="center" textRotation="90" wrapText="1"/>
    </xf>
    <xf numFmtId="4" fontId="22" fillId="0" borderId="0" xfId="0" applyNumberFormat="1" applyFont="1" applyFill="1" applyBorder="1" applyAlignment="1">
      <alignment horizontal="center" vertical="center" textRotation="90" wrapText="1"/>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4" fontId="21" fillId="0" borderId="0" xfId="0" applyNumberFormat="1" applyFont="1" applyFill="1" applyBorder="1" applyAlignment="1">
      <alignment horizontal="right" vertical="center"/>
    </xf>
    <xf numFmtId="4" fontId="21" fillId="0" borderId="0" xfId="0" applyNumberFormat="1" applyFont="1" applyFill="1" applyBorder="1" applyAlignment="1">
      <alignment horizontal="center" vertical="center"/>
    </xf>
    <xf numFmtId="14" fontId="21" fillId="0" borderId="0" xfId="0" applyNumberFormat="1" applyFont="1" applyFill="1" applyBorder="1" applyAlignment="1">
      <alignment horizontal="center" vertical="center"/>
    </xf>
    <xf numFmtId="0" fontId="23" fillId="0" borderId="0" xfId="36" applyFont="1" applyFill="1" applyBorder="1" applyAlignment="1" applyProtection="1">
      <alignment vertical="center"/>
      <protection/>
    </xf>
    <xf numFmtId="0" fontId="21" fillId="0" borderId="0" xfId="0" applyNumberFormat="1" applyFont="1" applyFill="1" applyBorder="1" applyAlignment="1">
      <alignment horizontal="center" vertical="center"/>
    </xf>
    <xf numFmtId="14" fontId="23" fillId="0" borderId="0" xfId="36" applyNumberFormat="1" applyFont="1" applyFill="1" applyBorder="1" applyAlignment="1" applyProtection="1">
      <alignment vertical="center"/>
      <protection/>
    </xf>
    <xf numFmtId="4" fontId="21" fillId="0" borderId="0" xfId="0" applyNumberFormat="1" applyFont="1" applyFill="1" applyBorder="1" applyAlignment="1">
      <alignment vertical="center"/>
    </xf>
    <xf numFmtId="4" fontId="24" fillId="0" borderId="0" xfId="0" applyNumberFormat="1" applyFont="1" applyFill="1" applyBorder="1" applyAlignment="1">
      <alignment vertical="center"/>
    </xf>
    <xf numFmtId="4" fontId="24" fillId="0" borderId="0" xfId="0" applyNumberFormat="1" applyFont="1" applyFill="1" applyBorder="1" applyAlignment="1">
      <alignment horizontal="center" vertical="center"/>
    </xf>
    <xf numFmtId="10" fontId="21" fillId="0" borderId="0" xfId="0" applyNumberFormat="1"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xf>
    <xf numFmtId="4" fontId="17" fillId="0" borderId="0" xfId="0" applyNumberFormat="1" applyFont="1" applyFill="1" applyBorder="1" applyAlignment="1">
      <alignment horizontal="right" vertical="center"/>
    </xf>
    <xf numFmtId="4" fontId="17" fillId="0" borderId="0" xfId="0" applyNumberFormat="1" applyFont="1" applyFill="1" applyBorder="1" applyAlignment="1">
      <alignment horizontal="center" vertical="center"/>
    </xf>
    <xf numFmtId="14"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171" fontId="17" fillId="0" borderId="0" xfId="0" applyNumberFormat="1" applyFont="1" applyFill="1" applyBorder="1" applyAlignment="1">
      <alignment horizontal="center" vertical="center"/>
    </xf>
    <xf numFmtId="0" fontId="17" fillId="0" borderId="0" xfId="0" applyFont="1" applyFill="1" applyBorder="1" applyAlignment="1">
      <alignment vertical="center"/>
    </xf>
    <xf numFmtId="0" fontId="25" fillId="0" borderId="0" xfId="36" applyFont="1" applyFill="1" applyBorder="1" applyAlignment="1" applyProtection="1">
      <alignment vertical="center"/>
      <protection/>
    </xf>
    <xf numFmtId="1" fontId="17" fillId="0" borderId="0" xfId="0" applyNumberFormat="1" applyFont="1" applyFill="1" applyBorder="1" applyAlignment="1" quotePrefix="1">
      <alignment horizontal="center" vertical="center"/>
    </xf>
    <xf numFmtId="1" fontId="17" fillId="0" borderId="0" xfId="0" applyNumberFormat="1" applyFont="1" applyFill="1" applyBorder="1" applyAlignment="1">
      <alignment horizontal="left" vertical="center"/>
    </xf>
    <xf numFmtId="14" fontId="18" fillId="0" borderId="0" xfId="0" applyNumberFormat="1" applyFont="1" applyFill="1" applyBorder="1" applyAlignment="1">
      <alignment horizontal="center" vertical="center"/>
    </xf>
    <xf numFmtId="0" fontId="17" fillId="0" borderId="0" xfId="0" applyNumberFormat="1" applyFont="1" applyFill="1" applyBorder="1" applyAlignment="1" quotePrefix="1">
      <alignment horizontal="center" vertical="center"/>
    </xf>
    <xf numFmtId="14" fontId="26" fillId="0" borderId="0" xfId="36" applyNumberFormat="1" applyFont="1" applyFill="1" applyBorder="1" applyAlignment="1" applyProtection="1">
      <alignment vertical="center"/>
      <protection/>
    </xf>
    <xf numFmtId="14" fontId="17" fillId="0" borderId="0" xfId="0" applyNumberFormat="1" applyFont="1" applyFill="1" applyBorder="1" applyAlignment="1">
      <alignment vertical="center"/>
    </xf>
    <xf numFmtId="4" fontId="17" fillId="0" borderId="0" xfId="0" applyNumberFormat="1" applyFont="1" applyFill="1" applyBorder="1" applyAlignment="1">
      <alignment vertical="center"/>
    </xf>
    <xf numFmtId="0" fontId="20" fillId="0" borderId="0" xfId="0" applyFont="1" applyFill="1" applyBorder="1" applyAlignment="1">
      <alignment horizontal="center" vertical="center"/>
    </xf>
    <xf numFmtId="14" fontId="20" fillId="0" borderId="0" xfId="0" applyNumberFormat="1" applyFont="1" applyFill="1" applyBorder="1" applyAlignment="1">
      <alignment horizontal="center" vertical="center"/>
    </xf>
    <xf numFmtId="0" fontId="20" fillId="0" borderId="0" xfId="0" applyFont="1" applyFill="1" applyBorder="1" applyAlignment="1" quotePrefix="1">
      <alignment horizontal="center" vertical="center"/>
    </xf>
    <xf numFmtId="4" fontId="20" fillId="0" borderId="0" xfId="0" applyNumberFormat="1" applyFont="1" applyFill="1" applyBorder="1" applyAlignment="1">
      <alignment horizontal="center" vertical="center"/>
    </xf>
    <xf numFmtId="181" fontId="20" fillId="0" borderId="0" xfId="0" applyNumberFormat="1" applyFont="1" applyFill="1" applyBorder="1" applyAlignment="1">
      <alignment horizontal="center" vertical="center"/>
    </xf>
    <xf numFmtId="4" fontId="20" fillId="0" borderId="0" xfId="0" applyNumberFormat="1" applyFont="1" applyFill="1" applyBorder="1" applyAlignment="1" quotePrefix="1">
      <alignment horizontal="center" vertical="center"/>
    </xf>
    <xf numFmtId="3" fontId="20" fillId="0" borderId="0" xfId="0" applyNumberFormat="1" applyFont="1" applyFill="1" applyBorder="1" applyAlignment="1">
      <alignment horizontal="center" vertical="center"/>
    </xf>
    <xf numFmtId="4" fontId="17" fillId="0" borderId="0" xfId="0" applyNumberFormat="1" applyFont="1" applyFill="1" applyBorder="1" applyAlignment="1" quotePrefix="1">
      <alignment horizontal="center" vertical="center"/>
    </xf>
    <xf numFmtId="1" fontId="18" fillId="0" borderId="0" xfId="0" applyNumberFormat="1" applyFont="1" applyFill="1" applyBorder="1" applyAlignment="1">
      <alignment horizontal="center" vertical="center"/>
    </xf>
    <xf numFmtId="4" fontId="22" fillId="0" borderId="0" xfId="0" applyNumberFormat="1" applyFont="1" applyFill="1" applyBorder="1" applyAlignment="1">
      <alignment vertical="center"/>
    </xf>
    <xf numFmtId="4" fontId="22" fillId="0" borderId="0" xfId="0" applyNumberFormat="1" applyFont="1" applyFill="1" applyBorder="1" applyAlignment="1">
      <alignment horizontal="center" vertical="center"/>
    </xf>
    <xf numFmtId="4" fontId="20" fillId="0" borderId="0" xfId="0" applyNumberFormat="1" applyFont="1" applyFill="1" applyBorder="1" applyAlignment="1">
      <alignment vertical="center"/>
    </xf>
    <xf numFmtId="10" fontId="17" fillId="0" borderId="0" xfId="0" applyNumberFormat="1" applyFont="1" applyFill="1" applyBorder="1" applyAlignment="1">
      <alignment vertical="center"/>
    </xf>
    <xf numFmtId="3" fontId="17" fillId="0" borderId="0" xfId="0" applyNumberFormat="1" applyFont="1" applyFill="1" applyBorder="1" applyAlignment="1" quotePrefix="1">
      <alignment horizontal="center" vertical="center"/>
    </xf>
    <xf numFmtId="0" fontId="26" fillId="0" borderId="0" xfId="36" applyFont="1" applyFill="1" applyBorder="1" applyAlignment="1" applyProtection="1">
      <alignment vertical="center"/>
      <protection/>
    </xf>
    <xf numFmtId="4" fontId="27" fillId="0" borderId="0" xfId="0" applyNumberFormat="1" applyFont="1" applyFill="1" applyBorder="1" applyAlignment="1">
      <alignment vertical="center"/>
    </xf>
    <xf numFmtId="4" fontId="27" fillId="0" borderId="0" xfId="0" applyNumberFormat="1" applyFont="1" applyFill="1" applyBorder="1" applyAlignment="1">
      <alignment horizontal="center" vertical="center"/>
    </xf>
    <xf numFmtId="1" fontId="17" fillId="0" borderId="0" xfId="0" applyNumberFormat="1" applyFont="1" applyFill="1" applyBorder="1" applyAlignment="1" quotePrefix="1">
      <alignment horizontal="left" vertical="center"/>
    </xf>
    <xf numFmtId="0" fontId="17" fillId="0" borderId="0" xfId="0" applyNumberFormat="1" applyFont="1" applyFill="1" applyBorder="1" applyAlignment="1">
      <alignment horizontal="center" vertical="center"/>
    </xf>
    <xf numFmtId="4" fontId="27" fillId="0" borderId="0" xfId="0" applyNumberFormat="1" applyFont="1" applyFill="1" applyBorder="1" applyAlignment="1">
      <alignment horizontal="right" vertical="center"/>
    </xf>
    <xf numFmtId="0" fontId="20" fillId="0" borderId="0" xfId="0" applyFont="1" applyFill="1" applyBorder="1" applyAlignment="1" quotePrefix="1">
      <alignment horizontal="left" vertical="center"/>
    </xf>
    <xf numFmtId="1" fontId="20" fillId="0" borderId="0" xfId="0" applyNumberFormat="1" applyFont="1" applyFill="1" applyBorder="1" applyAlignment="1">
      <alignment horizontal="center" vertical="center"/>
    </xf>
    <xf numFmtId="4" fontId="21" fillId="0" borderId="0" xfId="0" applyNumberFormat="1" applyFont="1" applyFill="1" applyBorder="1" applyAlignment="1" quotePrefix="1">
      <alignment horizontal="right" vertical="center"/>
    </xf>
    <xf numFmtId="4" fontId="22" fillId="0" borderId="0" xfId="0" applyNumberFormat="1" applyFont="1" applyFill="1" applyBorder="1" applyAlignment="1">
      <alignment horizontal="right" vertical="center"/>
    </xf>
    <xf numFmtId="14" fontId="17" fillId="0" borderId="0" xfId="0" applyNumberFormat="1" applyFont="1" applyFill="1" applyBorder="1" applyAlignment="1" quotePrefix="1">
      <alignment horizontal="center" vertical="center"/>
    </xf>
    <xf numFmtId="4" fontId="18" fillId="0" borderId="0" xfId="0" applyNumberFormat="1" applyFont="1" applyFill="1" applyBorder="1" applyAlignment="1" quotePrefix="1">
      <alignment horizontal="center" vertical="center"/>
    </xf>
    <xf numFmtId="4" fontId="24" fillId="0" borderId="0" xfId="0" applyNumberFormat="1" applyFont="1" applyFill="1" applyBorder="1" applyAlignment="1">
      <alignment horizontal="right" vertical="center"/>
    </xf>
    <xf numFmtId="0" fontId="17" fillId="0" borderId="0" xfId="0" applyFont="1" applyFill="1" applyBorder="1" applyAlignment="1" quotePrefix="1">
      <alignment horizontal="center" vertical="center"/>
    </xf>
    <xf numFmtId="0" fontId="28" fillId="0" borderId="0" xfId="0" applyFont="1" applyFill="1" applyBorder="1" applyAlignment="1">
      <alignment horizontal="center" vertical="center"/>
    </xf>
    <xf numFmtId="14" fontId="28" fillId="0" borderId="0" xfId="0" applyNumberFormat="1" applyFont="1" applyFill="1" applyBorder="1" applyAlignment="1">
      <alignment horizontal="center" vertical="center"/>
    </xf>
    <xf numFmtId="0" fontId="28" fillId="0" borderId="0" xfId="0" applyFont="1" applyFill="1" applyBorder="1" applyAlignment="1" quotePrefix="1">
      <alignment horizontal="center" vertical="center"/>
    </xf>
    <xf numFmtId="181" fontId="17" fillId="0" borderId="0" xfId="0" applyNumberFormat="1" applyFont="1" applyFill="1" applyBorder="1" applyAlignment="1">
      <alignment horizontal="center" vertical="center"/>
    </xf>
    <xf numFmtId="4" fontId="20" fillId="0" borderId="0" xfId="0" applyNumberFormat="1" applyFont="1" applyFill="1" applyBorder="1" applyAlignment="1">
      <alignment horizontal="right" vertical="center"/>
    </xf>
    <xf numFmtId="0" fontId="26" fillId="0" borderId="0" xfId="36" applyFont="1" applyFill="1" applyAlignment="1" applyProtection="1">
      <alignment vertical="center"/>
      <protection/>
    </xf>
    <xf numFmtId="4" fontId="18" fillId="0" borderId="0" xfId="0" applyNumberFormat="1" applyFont="1" applyFill="1" applyBorder="1" applyAlignment="1" quotePrefix="1">
      <alignment horizontal="left" vertical="center"/>
    </xf>
    <xf numFmtId="171" fontId="17" fillId="0" borderId="0" xfId="0" applyNumberFormat="1" applyFont="1" applyFill="1" applyBorder="1" applyAlignment="1" quotePrefix="1">
      <alignment horizontal="center" vertical="center"/>
    </xf>
    <xf numFmtId="0" fontId="17" fillId="0" borderId="0" xfId="0" applyFont="1" applyFill="1" applyBorder="1" applyAlignment="1" quotePrefix="1">
      <alignment horizontal="left" vertical="center"/>
    </xf>
    <xf numFmtId="14" fontId="20" fillId="0" borderId="0" xfId="0" applyNumberFormat="1" applyFont="1" applyFill="1" applyBorder="1" applyAlignment="1" quotePrefix="1">
      <alignment horizontal="center" vertical="center"/>
    </xf>
    <xf numFmtId="181" fontId="20" fillId="0" borderId="0" xfId="0" applyNumberFormat="1" applyFont="1" applyFill="1" applyBorder="1" applyAlignment="1" quotePrefix="1">
      <alignment horizontal="center" vertical="center"/>
    </xf>
    <xf numFmtId="0" fontId="17" fillId="0" borderId="0" xfId="0" applyFont="1" applyFill="1" applyBorder="1" applyAlignment="1" quotePrefix="1">
      <alignment vertical="center"/>
    </xf>
    <xf numFmtId="0" fontId="17" fillId="0" borderId="0" xfId="0" applyFont="1" applyAlignment="1">
      <alignment/>
    </xf>
    <xf numFmtId="4" fontId="20" fillId="0" borderId="0" xfId="0" applyNumberFormat="1" applyFont="1" applyFill="1" applyBorder="1" applyAlignment="1">
      <alignment/>
    </xf>
    <xf numFmtId="14" fontId="20" fillId="0" borderId="0" xfId="0" applyNumberFormat="1" applyFont="1" applyFill="1" applyBorder="1" applyAlignment="1">
      <alignment/>
    </xf>
    <xf numFmtId="1" fontId="29" fillId="0" borderId="0" xfId="0" applyNumberFormat="1" applyFont="1" applyFill="1" applyBorder="1" applyAlignment="1">
      <alignment horizontal="center"/>
    </xf>
    <xf numFmtId="4" fontId="17" fillId="0" borderId="0" xfId="0" applyNumberFormat="1" applyFont="1" applyFill="1" applyBorder="1" applyAlignment="1" quotePrefix="1">
      <alignment/>
    </xf>
    <xf numFmtId="0" fontId="17" fillId="0" borderId="32" xfId="0" applyFont="1" applyFill="1" applyBorder="1" applyAlignment="1">
      <alignment horizontal="left"/>
    </xf>
    <xf numFmtId="14" fontId="20" fillId="0" borderId="0" xfId="0" applyNumberFormat="1" applyFont="1" applyFill="1" applyBorder="1" applyAlignment="1">
      <alignment vertical="center"/>
    </xf>
    <xf numFmtId="1" fontId="28" fillId="0" borderId="0" xfId="0" applyNumberFormat="1" applyFont="1" applyFill="1" applyBorder="1" applyAlignment="1">
      <alignment horizontal="center" vertical="center"/>
    </xf>
    <xf numFmtId="0" fontId="27" fillId="19" borderId="0" xfId="0" applyFont="1" applyFill="1" applyBorder="1" applyAlignment="1">
      <alignment horizontal="center" vertical="center"/>
    </xf>
    <xf numFmtId="0" fontId="27" fillId="19" borderId="0" xfId="0" applyFont="1" applyFill="1" applyBorder="1" applyAlignment="1">
      <alignment horizontal="left" vertical="center"/>
    </xf>
    <xf numFmtId="4" fontId="27" fillId="19" borderId="0" xfId="0" applyNumberFormat="1" applyFont="1" applyFill="1" applyBorder="1" applyAlignment="1">
      <alignment horizontal="right" vertical="center"/>
    </xf>
    <xf numFmtId="4" fontId="27" fillId="19" borderId="0" xfId="0" applyNumberFormat="1" applyFont="1" applyFill="1" applyBorder="1" applyAlignment="1">
      <alignment horizontal="center" vertical="center"/>
    </xf>
    <xf numFmtId="14" fontId="27" fillId="19" borderId="0" xfId="0" applyNumberFormat="1" applyFont="1" applyFill="1" applyBorder="1" applyAlignment="1">
      <alignment horizontal="center" vertical="center"/>
    </xf>
    <xf numFmtId="4" fontId="27" fillId="19" borderId="0" xfId="0" applyNumberFormat="1" applyFont="1" applyFill="1" applyBorder="1" applyAlignment="1" quotePrefix="1">
      <alignment horizontal="center" vertical="center"/>
    </xf>
    <xf numFmtId="171" fontId="27" fillId="19" borderId="0" xfId="0" applyNumberFormat="1" applyFont="1" applyFill="1" applyBorder="1" applyAlignment="1">
      <alignment horizontal="center" vertical="center"/>
    </xf>
    <xf numFmtId="1" fontId="27" fillId="19" borderId="0" xfId="0" applyNumberFormat="1" applyFont="1" applyFill="1" applyBorder="1" applyAlignment="1">
      <alignment horizontal="center" vertical="center"/>
    </xf>
    <xf numFmtId="0" fontId="27" fillId="19" borderId="0" xfId="0" applyFont="1" applyFill="1" applyBorder="1" applyAlignment="1">
      <alignment vertical="center"/>
    </xf>
    <xf numFmtId="0" fontId="27" fillId="19" borderId="0" xfId="0" applyFont="1" applyFill="1" applyBorder="1" applyAlignment="1" quotePrefix="1">
      <alignment horizontal="center" vertical="center"/>
    </xf>
    <xf numFmtId="0" fontId="30" fillId="19" borderId="0" xfId="36" applyFont="1" applyFill="1" applyBorder="1" applyAlignment="1" applyProtection="1">
      <alignment vertical="center"/>
      <protection/>
    </xf>
    <xf numFmtId="1" fontId="27" fillId="19" borderId="0" xfId="0" applyNumberFormat="1" applyFont="1" applyFill="1" applyBorder="1" applyAlignment="1" quotePrefix="1">
      <alignment horizontal="center" vertical="center"/>
    </xf>
    <xf numFmtId="1" fontId="27" fillId="19" borderId="0" xfId="0" applyNumberFormat="1" applyFont="1" applyFill="1" applyBorder="1" applyAlignment="1">
      <alignment horizontal="left" vertical="center"/>
    </xf>
    <xf numFmtId="0" fontId="27" fillId="19" borderId="0" xfId="0" applyFont="1" applyFill="1" applyBorder="1" applyAlignment="1">
      <alignment horizontal="left"/>
    </xf>
    <xf numFmtId="0" fontId="27" fillId="19" borderId="0" xfId="0" applyFont="1" applyFill="1" applyAlignment="1">
      <alignment horizontal="center"/>
    </xf>
    <xf numFmtId="0" fontId="31" fillId="19" borderId="0" xfId="0" applyFont="1" applyFill="1" applyBorder="1" applyAlignment="1">
      <alignment horizontal="center" vertical="center"/>
    </xf>
    <xf numFmtId="14" fontId="31" fillId="19" borderId="0" xfId="0" applyNumberFormat="1" applyFont="1" applyFill="1" applyBorder="1" applyAlignment="1">
      <alignment horizontal="center" vertical="center"/>
    </xf>
    <xf numFmtId="0" fontId="27" fillId="19" borderId="0" xfId="0" applyNumberFormat="1" applyFont="1" applyFill="1" applyBorder="1" applyAlignment="1">
      <alignment horizontal="center" vertical="center"/>
    </xf>
    <xf numFmtId="0" fontId="27" fillId="19" borderId="0" xfId="0" applyNumberFormat="1" applyFont="1" applyFill="1" applyBorder="1" applyAlignment="1" quotePrefix="1">
      <alignment horizontal="center" vertical="center"/>
    </xf>
    <xf numFmtId="14" fontId="30" fillId="19" borderId="0" xfId="36" applyNumberFormat="1" applyFont="1" applyFill="1" applyBorder="1" applyAlignment="1" applyProtection="1">
      <alignment vertical="center"/>
      <protection/>
    </xf>
    <xf numFmtId="14" fontId="27" fillId="19" borderId="0" xfId="0" applyNumberFormat="1" applyFont="1" applyFill="1" applyBorder="1" applyAlignment="1">
      <alignment vertical="center"/>
    </xf>
    <xf numFmtId="0" fontId="24" fillId="19" borderId="0" xfId="0" applyFont="1" applyFill="1" applyBorder="1" applyAlignment="1">
      <alignment horizontal="center" vertical="center"/>
    </xf>
    <xf numFmtId="4" fontId="27" fillId="19" borderId="0" xfId="0" applyNumberFormat="1" applyFont="1" applyFill="1" applyBorder="1" applyAlignment="1">
      <alignment vertical="center"/>
    </xf>
    <xf numFmtId="0" fontId="22" fillId="19" borderId="0" xfId="0" applyFont="1" applyFill="1" applyBorder="1" applyAlignment="1">
      <alignment horizontal="center" vertical="center"/>
    </xf>
    <xf numFmtId="14" fontId="22" fillId="19" borderId="0" xfId="0" applyNumberFormat="1" applyFont="1" applyFill="1" applyBorder="1" applyAlignment="1">
      <alignment horizontal="center" vertical="center"/>
    </xf>
    <xf numFmtId="0" fontId="22" fillId="19" borderId="0" xfId="0" applyFont="1" applyFill="1" applyBorder="1" applyAlignment="1" quotePrefix="1">
      <alignment horizontal="center" vertical="center"/>
    </xf>
    <xf numFmtId="14" fontId="22" fillId="19" borderId="0" xfId="0" applyNumberFormat="1" applyFont="1" applyFill="1" applyBorder="1" applyAlignment="1">
      <alignment vertical="center"/>
    </xf>
    <xf numFmtId="4" fontId="22" fillId="19" borderId="0" xfId="0" applyNumberFormat="1" applyFont="1" applyFill="1" applyBorder="1" applyAlignment="1">
      <alignment horizontal="center" vertical="center"/>
    </xf>
    <xf numFmtId="181" fontId="22" fillId="19" borderId="0" xfId="0" applyNumberFormat="1" applyFont="1" applyFill="1" applyBorder="1" applyAlignment="1">
      <alignment horizontal="center" vertical="center"/>
    </xf>
    <xf numFmtId="4" fontId="22" fillId="19" borderId="0" xfId="0" applyNumberFormat="1" applyFont="1" applyFill="1" applyBorder="1" applyAlignment="1" quotePrefix="1">
      <alignment horizontal="center" vertical="center"/>
    </xf>
    <xf numFmtId="1" fontId="32" fillId="19" borderId="0" xfId="0" applyNumberFormat="1" applyFont="1" applyFill="1" applyBorder="1" applyAlignment="1">
      <alignment horizontal="center" vertical="center"/>
    </xf>
    <xf numFmtId="4" fontId="24" fillId="19" borderId="0" xfId="0" applyNumberFormat="1" applyFont="1" applyFill="1" applyBorder="1" applyAlignment="1">
      <alignment horizontal="left" vertical="center"/>
    </xf>
    <xf numFmtId="181" fontId="27" fillId="19" borderId="0" xfId="0" applyNumberFormat="1" applyFont="1" applyFill="1" applyBorder="1" applyAlignment="1">
      <alignment horizontal="center" vertical="center"/>
    </xf>
    <xf numFmtId="4" fontId="22" fillId="19" borderId="0" xfId="0" applyNumberFormat="1" applyFont="1" applyFill="1" applyBorder="1" applyAlignment="1">
      <alignment vertical="center"/>
    </xf>
    <xf numFmtId="4" fontId="22" fillId="19" borderId="0" xfId="0" applyNumberFormat="1" applyFont="1" applyFill="1" applyBorder="1" applyAlignment="1">
      <alignment horizontal="right" vertical="center"/>
    </xf>
    <xf numFmtId="10" fontId="22" fillId="19" borderId="0" xfId="0" applyNumberFormat="1" applyFont="1" applyFill="1" applyBorder="1" applyAlignment="1">
      <alignment vertical="center"/>
    </xf>
    <xf numFmtId="10" fontId="27" fillId="19" borderId="0" xfId="0" applyNumberFormat="1" applyFont="1" applyFill="1" applyBorder="1" applyAlignment="1">
      <alignment vertical="center"/>
    </xf>
    <xf numFmtId="0" fontId="17" fillId="0" borderId="0" xfId="0" applyFont="1" applyFill="1" applyBorder="1" applyAlignment="1">
      <alignment horizontal="left" vertical="center" wrapText="1"/>
    </xf>
    <xf numFmtId="4" fontId="17" fillId="0" borderId="0" xfId="0" applyNumberFormat="1" applyFont="1" applyFill="1" applyBorder="1" applyAlignment="1">
      <alignment horizontal="right" vertical="center" wrapText="1"/>
    </xf>
    <xf numFmtId="4" fontId="17" fillId="0" borderId="0" xfId="0" applyNumberFormat="1" applyFont="1" applyFill="1" applyBorder="1" applyAlignment="1">
      <alignment horizontal="center" vertical="center" wrapText="1"/>
    </xf>
    <xf numFmtId="14" fontId="17" fillId="0" borderId="0" xfId="0" applyNumberFormat="1" applyFont="1" applyFill="1" applyBorder="1" applyAlignment="1">
      <alignment horizontal="center" vertical="center" wrapText="1"/>
    </xf>
    <xf numFmtId="171" fontId="17" fillId="0" borderId="0"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1" fontId="17"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center" vertical="center" wrapText="1"/>
    </xf>
    <xf numFmtId="0" fontId="17" fillId="0" borderId="0" xfId="0" applyFont="1" applyFill="1" applyBorder="1" applyAlignment="1">
      <alignment vertical="center" wrapText="1"/>
    </xf>
    <xf numFmtId="4" fontId="19" fillId="0" borderId="0" xfId="0" applyNumberFormat="1" applyFont="1" applyFill="1" applyBorder="1" applyAlignment="1">
      <alignment vertical="center" wrapText="1"/>
    </xf>
    <xf numFmtId="4" fontId="17" fillId="0" borderId="0" xfId="0" applyNumberFormat="1" applyFont="1" applyFill="1" applyBorder="1" applyAlignment="1">
      <alignment vertical="center" wrapText="1"/>
    </xf>
    <xf numFmtId="0" fontId="20" fillId="0" borderId="0" xfId="0" applyFont="1" applyFill="1" applyBorder="1" applyAlignment="1">
      <alignment vertical="center" wrapText="1"/>
    </xf>
    <xf numFmtId="4" fontId="20" fillId="0" borderId="0" xfId="0" applyNumberFormat="1" applyFont="1" applyFill="1" applyBorder="1" applyAlignment="1">
      <alignment vertical="center" wrapText="1"/>
    </xf>
    <xf numFmtId="181" fontId="20" fillId="0" borderId="0" xfId="0" applyNumberFormat="1" applyFont="1" applyFill="1" applyBorder="1" applyAlignment="1">
      <alignment vertical="center" wrapText="1"/>
    </xf>
    <xf numFmtId="14" fontId="17" fillId="0" borderId="0" xfId="0" applyNumberFormat="1" applyFont="1" applyFill="1" applyBorder="1" applyAlignment="1">
      <alignment vertical="center" wrapText="1"/>
    </xf>
    <xf numFmtId="181" fontId="17" fillId="0" borderId="0" xfId="0" applyNumberFormat="1" applyFont="1" applyFill="1" applyBorder="1" applyAlignment="1">
      <alignment vertical="center" wrapText="1"/>
    </xf>
    <xf numFmtId="4" fontId="22" fillId="0" borderId="0" xfId="0" applyNumberFormat="1" applyFont="1" applyFill="1" applyBorder="1" applyAlignment="1">
      <alignment horizontal="right" vertical="center" wrapText="1"/>
    </xf>
    <xf numFmtId="4" fontId="22" fillId="0" borderId="0" xfId="0" applyNumberFormat="1" applyFont="1" applyFill="1" applyBorder="1" applyAlignment="1">
      <alignment vertical="center" wrapText="1"/>
    </xf>
    <xf numFmtId="0" fontId="17" fillId="0" borderId="0" xfId="0" applyFont="1" applyFill="1" applyBorder="1" applyAlignment="1">
      <alignment horizontal="center"/>
    </xf>
    <xf numFmtId="0" fontId="17" fillId="0" borderId="0" xfId="0" applyFont="1" applyFill="1" applyBorder="1" applyAlignment="1">
      <alignment horizontal="left"/>
    </xf>
    <xf numFmtId="4" fontId="17" fillId="0" borderId="0" xfId="0" applyNumberFormat="1" applyFont="1" applyFill="1" applyBorder="1" applyAlignment="1">
      <alignment horizontal="right"/>
    </xf>
    <xf numFmtId="4" fontId="17" fillId="0" borderId="0" xfId="0" applyNumberFormat="1" applyFont="1" applyFill="1" applyBorder="1" applyAlignment="1">
      <alignment horizontal="center"/>
    </xf>
    <xf numFmtId="14" fontId="17" fillId="0" borderId="0" xfId="0" applyNumberFormat="1" applyFont="1" applyFill="1" applyBorder="1" applyAlignment="1">
      <alignment horizontal="center"/>
    </xf>
    <xf numFmtId="171" fontId="17" fillId="0" borderId="0" xfId="0" applyNumberFormat="1" applyFont="1" applyFill="1" applyBorder="1" applyAlignment="1">
      <alignment horizontal="center"/>
    </xf>
    <xf numFmtId="1" fontId="17" fillId="0" borderId="0" xfId="0" applyNumberFormat="1" applyFont="1" applyFill="1" applyBorder="1" applyAlignment="1">
      <alignment horizontal="center"/>
    </xf>
    <xf numFmtId="0" fontId="17" fillId="0" borderId="0" xfId="0" applyFont="1" applyFill="1" applyBorder="1" applyAlignment="1" quotePrefix="1">
      <alignment horizontal="left"/>
    </xf>
    <xf numFmtId="0" fontId="17" fillId="0" borderId="0" xfId="0" applyFont="1" applyFill="1" applyBorder="1" applyAlignment="1" quotePrefix="1">
      <alignment horizontal="center"/>
    </xf>
    <xf numFmtId="1" fontId="17" fillId="0" borderId="0" xfId="0" applyNumberFormat="1" applyFont="1" applyFill="1" applyBorder="1" applyAlignment="1" quotePrefix="1">
      <alignment horizontal="center"/>
    </xf>
    <xf numFmtId="1" fontId="17" fillId="0" borderId="0" xfId="0" applyNumberFormat="1" applyFont="1" applyFill="1" applyBorder="1" applyAlignment="1">
      <alignment horizontal="left"/>
    </xf>
    <xf numFmtId="0" fontId="17" fillId="0" borderId="0" xfId="0" applyFont="1" applyFill="1" applyBorder="1" applyAlignment="1">
      <alignment/>
    </xf>
    <xf numFmtId="0" fontId="18" fillId="0" borderId="0" xfId="0" applyFont="1" applyFill="1" applyBorder="1" applyAlignment="1">
      <alignment horizontal="center"/>
    </xf>
    <xf numFmtId="14" fontId="18" fillId="0" borderId="0" xfId="0" applyNumberFormat="1" applyFont="1" applyFill="1" applyBorder="1" applyAlignment="1">
      <alignment horizontal="center"/>
    </xf>
    <xf numFmtId="0" fontId="17" fillId="0" borderId="0" xfId="0" applyNumberFormat="1" applyFont="1" applyFill="1" applyBorder="1" applyAlignment="1" quotePrefix="1">
      <alignment horizontal="center"/>
    </xf>
    <xf numFmtId="0" fontId="17" fillId="0" borderId="0" xfId="0" applyFont="1" applyFill="1" applyBorder="1" applyAlignment="1">
      <alignment/>
    </xf>
    <xf numFmtId="14" fontId="17" fillId="0" borderId="0" xfId="0" applyNumberFormat="1" applyFont="1" applyFill="1" applyBorder="1" applyAlignment="1">
      <alignment/>
    </xf>
    <xf numFmtId="14" fontId="19" fillId="0" borderId="0" xfId="0" applyNumberFormat="1" applyFont="1" applyFill="1" applyBorder="1" applyAlignment="1">
      <alignment/>
    </xf>
    <xf numFmtId="4" fontId="17" fillId="0" borderId="0" xfId="0" applyNumberFormat="1" applyFont="1" applyFill="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quotePrefix="1">
      <alignment/>
    </xf>
    <xf numFmtId="181" fontId="20" fillId="0" borderId="0" xfId="0" applyNumberFormat="1" applyFont="1" applyFill="1" applyBorder="1" applyAlignment="1">
      <alignment/>
    </xf>
    <xf numFmtId="4" fontId="18" fillId="0" borderId="0" xfId="0" applyNumberFormat="1" applyFont="1" applyFill="1" applyBorder="1" applyAlignment="1" quotePrefix="1">
      <alignment horizontal="center"/>
    </xf>
    <xf numFmtId="4" fontId="20" fillId="0" borderId="0" xfId="0" applyNumberFormat="1" applyFont="1" applyFill="1" applyBorder="1" applyAlignment="1" quotePrefix="1">
      <alignment horizontal="center"/>
    </xf>
    <xf numFmtId="181" fontId="17" fillId="0" borderId="0" xfId="0" applyNumberFormat="1" applyFont="1" applyFill="1" applyBorder="1" applyAlignment="1">
      <alignment/>
    </xf>
    <xf numFmtId="4" fontId="17" fillId="0" borderId="0" xfId="0" applyNumberFormat="1" applyFont="1" applyAlignment="1">
      <alignment/>
    </xf>
    <xf numFmtId="4" fontId="22" fillId="0" borderId="0" xfId="0" applyNumberFormat="1" applyFont="1" applyFill="1" applyBorder="1" applyAlignment="1">
      <alignment/>
    </xf>
    <xf numFmtId="1" fontId="20" fillId="0" borderId="0" xfId="0" applyNumberFormat="1" applyFont="1" applyFill="1" applyBorder="1" applyAlignment="1" quotePrefix="1">
      <alignment horizontal="center"/>
    </xf>
    <xf numFmtId="1" fontId="17" fillId="0" borderId="0" xfId="0" applyNumberFormat="1" applyFont="1" applyFill="1" applyBorder="1" applyAlignment="1" quotePrefix="1">
      <alignment/>
    </xf>
    <xf numFmtId="14" fontId="17" fillId="0" borderId="0" xfId="0" applyNumberFormat="1" applyFont="1" applyAlignment="1">
      <alignment/>
    </xf>
    <xf numFmtId="1" fontId="17" fillId="0" borderId="0" xfId="0" applyNumberFormat="1" applyFont="1" applyFill="1" applyBorder="1" applyAlignment="1">
      <alignment/>
    </xf>
    <xf numFmtId="0" fontId="19" fillId="0" borderId="0" xfId="0" applyFont="1" applyFill="1" applyBorder="1" applyAlignment="1">
      <alignment/>
    </xf>
    <xf numFmtId="1" fontId="18" fillId="0" borderId="0" xfId="0" applyNumberFormat="1" applyFont="1" applyFill="1" applyBorder="1" applyAlignment="1">
      <alignment horizontal="center"/>
    </xf>
    <xf numFmtId="4" fontId="17" fillId="0" borderId="0" xfId="0" applyNumberFormat="1" applyFont="1" applyFill="1" applyBorder="1" applyAlignment="1" quotePrefix="1">
      <alignment horizontal="center"/>
    </xf>
    <xf numFmtId="1" fontId="20" fillId="0" borderId="0" xfId="0" applyNumberFormat="1" applyFont="1" applyFill="1" applyBorder="1" applyAlignment="1">
      <alignment horizontal="center"/>
    </xf>
    <xf numFmtId="1" fontId="20" fillId="0" borderId="0" xfId="0" applyNumberFormat="1" applyFont="1" applyFill="1" applyBorder="1" applyAlignment="1">
      <alignment/>
    </xf>
    <xf numFmtId="0" fontId="21" fillId="0" borderId="0" xfId="0" applyFont="1" applyFill="1" applyBorder="1" applyAlignment="1">
      <alignment horizontal="left"/>
    </xf>
    <xf numFmtId="0" fontId="17" fillId="0" borderId="0" xfId="0" applyNumberFormat="1" applyFont="1" applyFill="1" applyBorder="1" applyAlignment="1">
      <alignment horizontal="center"/>
    </xf>
    <xf numFmtId="4" fontId="27" fillId="0" borderId="0" xfId="0" applyNumberFormat="1" applyFont="1" applyFill="1" applyBorder="1" applyAlignment="1">
      <alignment/>
    </xf>
    <xf numFmtId="4" fontId="22" fillId="0" borderId="0" xfId="0" applyNumberFormat="1" applyFont="1" applyFill="1" applyBorder="1" applyAlignment="1">
      <alignment horizontal="right"/>
    </xf>
    <xf numFmtId="0" fontId="21" fillId="0" borderId="0" xfId="0" applyFont="1" applyFill="1" applyBorder="1" applyAlignment="1">
      <alignment horizontal="center"/>
    </xf>
    <xf numFmtId="4" fontId="19" fillId="0" borderId="0" xfId="0" applyNumberFormat="1" applyFont="1" applyFill="1" applyBorder="1" applyAlignment="1">
      <alignment/>
    </xf>
    <xf numFmtId="0" fontId="21" fillId="19" borderId="0" xfId="0" applyFont="1" applyFill="1" applyBorder="1" applyAlignment="1">
      <alignment horizontal="center"/>
    </xf>
    <xf numFmtId="0" fontId="17" fillId="19" borderId="0" xfId="0" applyFont="1" applyFill="1" applyBorder="1" applyAlignment="1">
      <alignment horizontal="center"/>
    </xf>
    <xf numFmtId="0" fontId="21" fillId="19" borderId="0" xfId="0" applyFont="1" applyFill="1" applyBorder="1" applyAlignment="1">
      <alignment horizontal="left"/>
    </xf>
    <xf numFmtId="0" fontId="17" fillId="19" borderId="0" xfId="0" applyFont="1" applyFill="1" applyBorder="1" applyAlignment="1">
      <alignment horizontal="left"/>
    </xf>
    <xf numFmtId="4" fontId="17" fillId="19" borderId="0" xfId="0" applyNumberFormat="1" applyFont="1" applyFill="1" applyBorder="1" applyAlignment="1">
      <alignment horizontal="right"/>
    </xf>
    <xf numFmtId="4" fontId="17" fillId="19" borderId="0" xfId="0" applyNumberFormat="1" applyFont="1" applyFill="1" applyBorder="1" applyAlignment="1">
      <alignment horizontal="center"/>
    </xf>
    <xf numFmtId="14" fontId="17" fillId="19" borderId="0" xfId="0" applyNumberFormat="1" applyFont="1" applyFill="1" applyBorder="1" applyAlignment="1">
      <alignment horizontal="center"/>
    </xf>
    <xf numFmtId="171" fontId="17" fillId="19" borderId="0" xfId="0" applyNumberFormat="1" applyFont="1" applyFill="1" applyBorder="1" applyAlignment="1">
      <alignment horizontal="center"/>
    </xf>
    <xf numFmtId="1" fontId="17" fillId="19" borderId="0" xfId="0" applyNumberFormat="1" applyFont="1" applyFill="1" applyBorder="1" applyAlignment="1">
      <alignment horizontal="center"/>
    </xf>
    <xf numFmtId="1" fontId="17" fillId="19" borderId="0" xfId="0" applyNumberFormat="1" applyFont="1" applyFill="1" applyBorder="1" applyAlignment="1">
      <alignment horizontal="left"/>
    </xf>
    <xf numFmtId="0" fontId="17" fillId="19" borderId="0" xfId="0" applyNumberFormat="1" applyFont="1" applyFill="1" applyBorder="1" applyAlignment="1">
      <alignment horizontal="center"/>
    </xf>
    <xf numFmtId="0" fontId="17" fillId="19" borderId="0" xfId="0" applyFont="1" applyFill="1" applyBorder="1" applyAlignment="1">
      <alignment/>
    </xf>
    <xf numFmtId="0" fontId="19" fillId="19" borderId="0" xfId="0" applyFont="1" applyFill="1" applyBorder="1" applyAlignment="1">
      <alignment/>
    </xf>
    <xf numFmtId="4" fontId="17" fillId="19" borderId="0" xfId="0" applyNumberFormat="1" applyFont="1" applyFill="1" applyBorder="1" applyAlignment="1">
      <alignment/>
    </xf>
    <xf numFmtId="181" fontId="17" fillId="19" borderId="0" xfId="0" applyNumberFormat="1" applyFont="1" applyFill="1" applyBorder="1" applyAlignment="1">
      <alignment/>
    </xf>
    <xf numFmtId="14" fontId="17" fillId="19" borderId="0" xfId="0" applyNumberFormat="1" applyFont="1" applyFill="1" applyBorder="1" applyAlignment="1">
      <alignment/>
    </xf>
    <xf numFmtId="4" fontId="22" fillId="19" borderId="0" xfId="0" applyNumberFormat="1" applyFont="1" applyFill="1" applyBorder="1" applyAlignment="1">
      <alignment/>
    </xf>
    <xf numFmtId="0" fontId="27" fillId="0" borderId="0" xfId="0" applyFont="1" applyFill="1" applyBorder="1" applyAlignment="1">
      <alignment horizontal="center"/>
    </xf>
    <xf numFmtId="0" fontId="27" fillId="0" borderId="0" xfId="0" applyFont="1" applyFill="1" applyBorder="1" applyAlignment="1">
      <alignment horizontal="left"/>
    </xf>
    <xf numFmtId="0" fontId="17" fillId="0" borderId="0" xfId="0" applyFont="1" applyFill="1" applyBorder="1" applyAlignment="1">
      <alignment wrapText="1"/>
    </xf>
    <xf numFmtId="0" fontId="17" fillId="0" borderId="0" xfId="0" applyFont="1" applyFill="1" applyAlignment="1">
      <alignment/>
    </xf>
    <xf numFmtId="0" fontId="26" fillId="0" borderId="0" xfId="36" applyFont="1" applyFill="1" applyBorder="1" applyAlignment="1" applyProtection="1">
      <alignment horizontal="left"/>
      <protection/>
    </xf>
    <xf numFmtId="0" fontId="17" fillId="0" borderId="0" xfId="0" applyFont="1" applyFill="1" applyBorder="1" applyAlignment="1" quotePrefix="1">
      <alignment/>
    </xf>
    <xf numFmtId="0" fontId="21" fillId="0" borderId="0" xfId="0" applyFont="1" applyFill="1" applyBorder="1" applyAlignment="1">
      <alignment/>
    </xf>
    <xf numFmtId="0" fontId="27" fillId="0" borderId="0" xfId="0" applyFont="1" applyFill="1" applyAlignment="1">
      <alignment horizontal="left"/>
    </xf>
    <xf numFmtId="0" fontId="17" fillId="0" borderId="0" xfId="0" applyFont="1" applyFill="1" applyAlignment="1">
      <alignment/>
    </xf>
    <xf numFmtId="4" fontId="33" fillId="0" borderId="0" xfId="0" applyNumberFormat="1" applyFont="1" applyFill="1" applyBorder="1" applyAlignment="1">
      <alignment vertical="center"/>
    </xf>
    <xf numFmtId="0" fontId="26" fillId="0" borderId="0" xfId="36" applyFont="1" applyFill="1" applyAlignment="1" applyProtection="1">
      <alignment horizontal="left"/>
      <protection/>
    </xf>
    <xf numFmtId="0" fontId="17" fillId="0" borderId="0" xfId="0" applyFont="1" applyFill="1" applyAlignment="1" quotePrefix="1">
      <alignment/>
    </xf>
    <xf numFmtId="4" fontId="17" fillId="0" borderId="0" xfId="0" applyNumberFormat="1" applyFont="1" applyFill="1" applyBorder="1" applyAlignment="1">
      <alignment/>
    </xf>
    <xf numFmtId="0" fontId="17" fillId="0" borderId="0" xfId="0" applyFont="1" applyFill="1" applyAlignment="1">
      <alignment horizontal="left"/>
    </xf>
    <xf numFmtId="4" fontId="17" fillId="0" borderId="0" xfId="0" applyNumberFormat="1" applyFont="1" applyFill="1" applyAlignment="1">
      <alignment/>
    </xf>
    <xf numFmtId="4" fontId="33" fillId="0" borderId="0" xfId="0" applyNumberFormat="1" applyFont="1" applyFill="1" applyAlignment="1">
      <alignment/>
    </xf>
    <xf numFmtId="4" fontId="33" fillId="0" borderId="0" xfId="0" applyNumberFormat="1" applyFont="1" applyFill="1" applyBorder="1" applyAlignment="1">
      <alignment/>
    </xf>
    <xf numFmtId="0" fontId="17" fillId="0" borderId="0" xfId="0" applyFont="1" applyFill="1" applyAlignment="1" quotePrefix="1">
      <alignment horizontal="left"/>
    </xf>
    <xf numFmtId="0" fontId="17" fillId="0" borderId="0" xfId="0" applyFont="1" applyFill="1" applyBorder="1" applyAlignment="1">
      <alignment vertical="top"/>
    </xf>
    <xf numFmtId="0" fontId="26" fillId="0" borderId="0" xfId="36" applyFont="1" applyFill="1" applyBorder="1" applyAlignment="1" applyProtection="1">
      <alignment horizontal="center"/>
      <protection/>
    </xf>
    <xf numFmtId="1" fontId="17" fillId="0" borderId="0" xfId="0" applyNumberFormat="1" applyFont="1" applyFill="1" applyBorder="1" applyAlignment="1" quotePrefix="1">
      <alignment horizontal="left"/>
    </xf>
    <xf numFmtId="14" fontId="20" fillId="0" borderId="0" xfId="0" applyNumberFormat="1" applyFont="1" applyFill="1" applyBorder="1" applyAlignment="1">
      <alignment horizontal="center"/>
    </xf>
    <xf numFmtId="0" fontId="27" fillId="0" borderId="0" xfId="0" applyFont="1" applyFill="1" applyBorder="1" applyAlignment="1">
      <alignment horizontal="center" vertical="center"/>
    </xf>
    <xf numFmtId="0" fontId="27" fillId="19" borderId="0" xfId="0" applyFont="1" applyFill="1" applyBorder="1" applyAlignment="1">
      <alignment horizontal="center"/>
    </xf>
    <xf numFmtId="4" fontId="27" fillId="0" borderId="0" xfId="0" applyNumberFormat="1" applyFont="1" applyFill="1" applyBorder="1" applyAlignment="1">
      <alignment horizontal="center"/>
    </xf>
    <xf numFmtId="0" fontId="18" fillId="0" borderId="0" xfId="0" applyFont="1" applyFill="1" applyBorder="1" applyAlignment="1">
      <alignment/>
    </xf>
    <xf numFmtId="14" fontId="18" fillId="0" borderId="0" xfId="0" applyNumberFormat="1" applyFont="1" applyFill="1" applyBorder="1" applyAlignment="1">
      <alignment/>
    </xf>
    <xf numFmtId="4" fontId="17" fillId="0" borderId="0" xfId="0" applyNumberFormat="1" applyFont="1" applyFill="1" applyBorder="1" applyAlignment="1" quotePrefix="1">
      <alignment horizontal="right" vertical="center"/>
    </xf>
    <xf numFmtId="4" fontId="27" fillId="0" borderId="0" xfId="0" applyNumberFormat="1" applyFont="1" applyAlignment="1">
      <alignment horizontal="center"/>
    </xf>
    <xf numFmtId="0" fontId="17" fillId="0" borderId="0" xfId="0" applyFont="1" applyFill="1" applyBorder="1" applyAlignment="1">
      <alignment horizontal="right"/>
    </xf>
    <xf numFmtId="4" fontId="27" fillId="19" borderId="0" xfId="0" applyNumberFormat="1" applyFont="1" applyFill="1" applyBorder="1" applyAlignment="1">
      <alignment horizontal="center"/>
    </xf>
    <xf numFmtId="3" fontId="17" fillId="0" borderId="0" xfId="0" applyNumberFormat="1" applyFont="1" applyFill="1" applyBorder="1" applyAlignment="1" quotePrefix="1">
      <alignment horizontal="left"/>
    </xf>
    <xf numFmtId="0" fontId="17" fillId="0" borderId="0" xfId="0" applyFont="1" applyAlignment="1">
      <alignment/>
    </xf>
    <xf numFmtId="0" fontId="21" fillId="0" borderId="0" xfId="0" applyNumberFormat="1" applyFont="1" applyFill="1" applyBorder="1" applyAlignment="1">
      <alignment horizontal="center"/>
    </xf>
    <xf numFmtId="14" fontId="18" fillId="0" borderId="0" xfId="0" applyNumberFormat="1" applyFont="1" applyFill="1" applyBorder="1" applyAlignment="1">
      <alignment/>
    </xf>
    <xf numFmtId="14" fontId="17" fillId="0" borderId="0" xfId="0" applyNumberFormat="1" applyFont="1" applyFill="1" applyBorder="1" applyAlignment="1">
      <alignment/>
    </xf>
    <xf numFmtId="0" fontId="21" fillId="0" borderId="0" xfId="0" applyFont="1" applyFill="1" applyBorder="1" applyAlignment="1">
      <alignment/>
    </xf>
    <xf numFmtId="0" fontId="17" fillId="0" borderId="0" xfId="0" applyFont="1" applyFill="1" applyBorder="1" applyAlignment="1" quotePrefix="1">
      <alignment/>
    </xf>
    <xf numFmtId="181" fontId="17" fillId="0" borderId="0" xfId="0" applyNumberFormat="1" applyFont="1" applyFill="1" applyBorder="1" applyAlignment="1">
      <alignment/>
    </xf>
    <xf numFmtId="0" fontId="18" fillId="0" borderId="0" xfId="0" applyFont="1" applyFill="1" applyBorder="1" applyAlignment="1">
      <alignment/>
    </xf>
    <xf numFmtId="0" fontId="26" fillId="0" borderId="0" xfId="36" applyFont="1" applyAlignment="1" applyProtection="1">
      <alignment horizontal="center" vertical="center"/>
      <protection/>
    </xf>
    <xf numFmtId="4" fontId="17" fillId="0" borderId="0" xfId="0" applyNumberFormat="1" applyFont="1" applyFill="1" applyBorder="1" applyAlignment="1">
      <alignment horizontal="left"/>
    </xf>
    <xf numFmtId="0" fontId="17" fillId="0" borderId="0" xfId="0" applyFont="1" applyAlignment="1">
      <alignment horizontal="left" vertical="center"/>
    </xf>
    <xf numFmtId="0" fontId="18" fillId="0" borderId="0" xfId="0" applyFont="1" applyFill="1" applyBorder="1" applyAlignment="1" quotePrefix="1">
      <alignment/>
    </xf>
    <xf numFmtId="0" fontId="21" fillId="0" borderId="0" xfId="0" applyFont="1" applyFill="1" applyBorder="1" applyAlignment="1" quotePrefix="1">
      <alignment/>
    </xf>
    <xf numFmtId="0" fontId="17" fillId="0" borderId="0" xfId="36" applyFont="1" applyFill="1" applyBorder="1" applyAlignment="1" applyProtection="1">
      <alignment horizontal="left"/>
      <protection/>
    </xf>
    <xf numFmtId="14" fontId="24" fillId="0" borderId="0" xfId="0" applyNumberFormat="1" applyFont="1" applyFill="1" applyBorder="1" applyAlignment="1">
      <alignment horizontal="center" vertical="center"/>
    </xf>
    <xf numFmtId="4" fontId="34" fillId="0" borderId="0" xfId="0" applyNumberFormat="1" applyFont="1" applyFill="1" applyBorder="1" applyAlignment="1">
      <alignment horizontal="center"/>
    </xf>
    <xf numFmtId="0" fontId="36" fillId="0" borderId="0" xfId="0" applyFont="1" applyAlignment="1">
      <alignment/>
    </xf>
    <xf numFmtId="0" fontId="29" fillId="0" borderId="0" xfId="0" applyFont="1" applyFill="1" applyBorder="1" applyAlignment="1">
      <alignment/>
    </xf>
    <xf numFmtId="4" fontId="20" fillId="0" borderId="0" xfId="0" applyNumberFormat="1" applyFont="1" applyFill="1" applyBorder="1" applyAlignment="1" quotePrefix="1">
      <alignment/>
    </xf>
    <xf numFmtId="0" fontId="17" fillId="19" borderId="0" xfId="0" applyFont="1" applyFill="1" applyBorder="1" applyAlignment="1" quotePrefix="1">
      <alignment horizontal="left"/>
    </xf>
    <xf numFmtId="0" fontId="17" fillId="19" borderId="0" xfId="0" applyFont="1" applyFill="1" applyBorder="1" applyAlignment="1">
      <alignment vertical="top"/>
    </xf>
    <xf numFmtId="0" fontId="26" fillId="19" borderId="0" xfId="36" applyFont="1" applyFill="1" applyBorder="1" applyAlignment="1" applyProtection="1">
      <alignment horizontal="center"/>
      <protection/>
    </xf>
    <xf numFmtId="1" fontId="17" fillId="19" borderId="0" xfId="0" applyNumberFormat="1" applyFont="1" applyFill="1" applyBorder="1" applyAlignment="1" quotePrefix="1">
      <alignment horizontal="left"/>
    </xf>
    <xf numFmtId="14" fontId="17" fillId="19" borderId="0" xfId="0" applyNumberFormat="1" applyFont="1" applyFill="1" applyBorder="1" applyAlignment="1">
      <alignment horizontal="center" vertical="center"/>
    </xf>
    <xf numFmtId="0" fontId="17" fillId="19" borderId="0" xfId="0" applyFont="1" applyFill="1" applyBorder="1" applyAlignment="1">
      <alignment horizontal="center" vertical="center"/>
    </xf>
    <xf numFmtId="0" fontId="17" fillId="19" borderId="0" xfId="0" applyFont="1" applyFill="1" applyBorder="1" applyAlignment="1">
      <alignment/>
    </xf>
    <xf numFmtId="4" fontId="17" fillId="19" borderId="0" xfId="0" applyNumberFormat="1" applyFont="1" applyFill="1" applyBorder="1" applyAlignment="1">
      <alignment vertical="center"/>
    </xf>
    <xf numFmtId="4" fontId="17" fillId="19" borderId="0" xfId="0" applyNumberFormat="1" applyFont="1" applyFill="1" applyBorder="1" applyAlignment="1">
      <alignment horizontal="right" vertical="center"/>
    </xf>
    <xf numFmtId="4" fontId="17" fillId="19" borderId="0" xfId="0" applyNumberFormat="1" applyFont="1" applyFill="1" applyBorder="1" applyAlignment="1" quotePrefix="1">
      <alignment horizontal="center"/>
    </xf>
    <xf numFmtId="0" fontId="17" fillId="19" borderId="0" xfId="0" applyFont="1" applyFill="1" applyBorder="1" applyAlignment="1" quotePrefix="1">
      <alignment horizontal="center"/>
    </xf>
    <xf numFmtId="0" fontId="20" fillId="19" borderId="0" xfId="0" applyFont="1" applyFill="1" applyBorder="1" applyAlignment="1">
      <alignment horizontal="center"/>
    </xf>
    <xf numFmtId="14" fontId="20" fillId="19" borderId="0" xfId="0" applyNumberFormat="1" applyFont="1" applyFill="1" applyBorder="1" applyAlignment="1">
      <alignment horizontal="center"/>
    </xf>
    <xf numFmtId="0" fontId="21" fillId="19" borderId="0" xfId="0" applyFont="1" applyFill="1" applyBorder="1" applyAlignment="1">
      <alignment/>
    </xf>
    <xf numFmtId="0" fontId="17" fillId="19" borderId="0" xfId="0" applyFont="1" applyFill="1" applyBorder="1" applyAlignment="1" quotePrefix="1">
      <alignment/>
    </xf>
    <xf numFmtId="0" fontId="27" fillId="0" borderId="0" xfId="0" applyFont="1" applyFill="1" applyBorder="1" applyAlignment="1">
      <alignment/>
    </xf>
    <xf numFmtId="14" fontId="29" fillId="0" borderId="0" xfId="0" applyNumberFormat="1" applyFont="1" applyFill="1" applyBorder="1" applyAlignment="1">
      <alignment horizontal="center" vertical="center"/>
    </xf>
    <xf numFmtId="4" fontId="29" fillId="0" borderId="0" xfId="0" applyNumberFormat="1" applyFont="1" applyFill="1" applyBorder="1" applyAlignment="1" quotePrefix="1">
      <alignment horizontal="right" vertical="center"/>
    </xf>
    <xf numFmtId="1" fontId="29" fillId="0" borderId="0" xfId="0" applyNumberFormat="1" applyFont="1" applyFill="1" applyBorder="1" applyAlignment="1">
      <alignment horizontal="center" vertical="center"/>
    </xf>
    <xf numFmtId="0" fontId="24" fillId="0" borderId="0" xfId="0" applyFont="1" applyFill="1" applyBorder="1" applyAlignment="1">
      <alignment horizontal="center" textRotation="90"/>
    </xf>
    <xf numFmtId="4" fontId="37" fillId="0" borderId="0" xfId="0" applyNumberFormat="1" applyFont="1" applyFill="1" applyBorder="1" applyAlignment="1">
      <alignment horizontal="center" textRotation="90" wrapText="1"/>
    </xf>
    <xf numFmtId="4" fontId="37" fillId="0" borderId="0" xfId="0" applyNumberFormat="1" applyFont="1" applyFill="1" applyBorder="1" applyAlignment="1">
      <alignment horizontal="right" vertical="center"/>
    </xf>
    <xf numFmtId="14" fontId="29" fillId="0" borderId="0" xfId="0" applyNumberFormat="1" applyFont="1" applyFill="1" applyBorder="1" applyAlignment="1" quotePrefix="1">
      <alignment horizontal="center" vertical="center"/>
    </xf>
    <xf numFmtId="1" fontId="24" fillId="0" borderId="0" xfId="0" applyNumberFormat="1" applyFont="1" applyFill="1" applyBorder="1" applyAlignment="1">
      <alignment horizontal="left" vertical="center"/>
    </xf>
    <xf numFmtId="0" fontId="24" fillId="0" borderId="0" xfId="0" applyNumberFormat="1" applyFont="1" applyFill="1" applyBorder="1" applyAlignment="1" quotePrefix="1">
      <alignment horizontal="center" vertical="center"/>
    </xf>
    <xf numFmtId="14" fontId="38" fillId="0" borderId="0" xfId="36" applyNumberFormat="1" applyFont="1" applyFill="1" applyBorder="1" applyAlignment="1" applyProtection="1">
      <alignment vertical="center"/>
      <protection/>
    </xf>
    <xf numFmtId="14" fontId="24" fillId="0" borderId="0" xfId="0" applyNumberFormat="1" applyFont="1" applyFill="1" applyBorder="1" applyAlignment="1">
      <alignment vertical="center"/>
    </xf>
    <xf numFmtId="181" fontId="24" fillId="0" borderId="0" xfId="0" applyNumberFormat="1" applyFont="1" applyFill="1" applyBorder="1" applyAlignment="1">
      <alignment horizontal="center" vertical="center"/>
    </xf>
    <xf numFmtId="10" fontId="24" fillId="0" borderId="0" xfId="0" applyNumberFormat="1"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4" fontId="24" fillId="0" borderId="0" xfId="0" applyNumberFormat="1" applyFont="1" applyFill="1" applyBorder="1" applyAlignment="1" quotePrefix="1">
      <alignment horizontal="center" vertical="center"/>
    </xf>
    <xf numFmtId="171" fontId="24" fillId="0" borderId="0" xfId="0" applyNumberFormat="1" applyFont="1" applyFill="1" applyBorder="1" applyAlignment="1">
      <alignment horizontal="center" vertical="center"/>
    </xf>
    <xf numFmtId="1" fontId="24" fillId="0" borderId="0" xfId="0" applyNumberFormat="1" applyFont="1" applyFill="1" applyBorder="1" applyAlignment="1" quotePrefix="1">
      <alignment horizontal="center" vertical="center"/>
    </xf>
    <xf numFmtId="0" fontId="24" fillId="0" borderId="0" xfId="0" applyFont="1" applyFill="1" applyBorder="1" applyAlignment="1">
      <alignment vertical="center"/>
    </xf>
    <xf numFmtId="0" fontId="38" fillId="0" borderId="0" xfId="36" applyFont="1" applyFill="1" applyBorder="1" applyAlignment="1" applyProtection="1">
      <alignment vertical="center"/>
      <protection/>
    </xf>
    <xf numFmtId="1" fontId="24" fillId="0" borderId="0" xfId="0" applyNumberFormat="1" applyFont="1" applyFill="1" applyBorder="1" applyAlignment="1">
      <alignment horizontal="center" vertical="center"/>
    </xf>
    <xf numFmtId="4" fontId="39" fillId="0" borderId="0" xfId="0" applyNumberFormat="1" applyFont="1" applyFill="1" applyBorder="1" applyAlignment="1">
      <alignment horizontal="right" vertical="center"/>
    </xf>
    <xf numFmtId="0" fontId="25" fillId="0" borderId="0" xfId="36" applyFont="1" applyFill="1" applyBorder="1" applyAlignment="1" applyProtection="1">
      <alignment horizontal="left"/>
      <protection/>
    </xf>
    <xf numFmtId="0" fontId="40" fillId="0" borderId="0" xfId="0" applyFont="1" applyAlignment="1">
      <alignment/>
    </xf>
    <xf numFmtId="4" fontId="22" fillId="19" borderId="0" xfId="0" applyNumberFormat="1" applyFont="1" applyFill="1" applyBorder="1" applyAlignment="1">
      <alignment horizontal="right"/>
    </xf>
    <xf numFmtId="4" fontId="20" fillId="0" borderId="0" xfId="0" applyNumberFormat="1" applyFont="1" applyFill="1" applyBorder="1" applyAlignment="1">
      <alignment horizontal="right"/>
    </xf>
    <xf numFmtId="4" fontId="26" fillId="0" borderId="0" xfId="0" applyNumberFormat="1" applyFont="1" applyFill="1" applyBorder="1" applyAlignment="1">
      <alignment horizontal="right" vertical="center"/>
    </xf>
    <xf numFmtId="4" fontId="27" fillId="0" borderId="0" xfId="0" applyNumberFormat="1" applyFont="1" applyFill="1" applyBorder="1" applyAlignment="1">
      <alignment horizontal="center" textRotation="90" wrapText="1"/>
    </xf>
    <xf numFmtId="14" fontId="20" fillId="0" borderId="0" xfId="0" applyNumberFormat="1" applyFont="1" applyFill="1" applyBorder="1" applyAlignment="1">
      <alignment horizontal="right" vertical="center"/>
    </xf>
    <xf numFmtId="4" fontId="29" fillId="0" borderId="0" xfId="0" applyNumberFormat="1" applyFont="1" applyAlignment="1">
      <alignment horizontal="right"/>
    </xf>
    <xf numFmtId="1" fontId="17" fillId="0" borderId="0" xfId="0" applyNumberFormat="1" applyFont="1" applyFill="1" applyBorder="1" applyAlignment="1">
      <alignment vertical="center"/>
    </xf>
    <xf numFmtId="14" fontId="21" fillId="0" borderId="0" xfId="0" applyNumberFormat="1" applyFont="1" applyFill="1" applyBorder="1" applyAlignment="1">
      <alignment/>
    </xf>
    <xf numFmtId="14" fontId="27" fillId="0" borderId="0" xfId="0" applyNumberFormat="1" applyFont="1" applyFill="1" applyBorder="1" applyAlignment="1">
      <alignment/>
    </xf>
    <xf numFmtId="4" fontId="0" fillId="0" borderId="0" xfId="0" applyNumberFormat="1" applyFont="1" applyFill="1" applyBorder="1" applyAlignment="1">
      <alignment horizontal="center"/>
    </xf>
    <xf numFmtId="10" fontId="27" fillId="0" borderId="0" xfId="0" applyNumberFormat="1" applyFont="1" applyFill="1" applyBorder="1" applyAlignment="1">
      <alignment vertical="center"/>
    </xf>
    <xf numFmtId="4" fontId="17" fillId="24" borderId="0" xfId="0" applyNumberFormat="1" applyFont="1" applyFill="1" applyBorder="1" applyAlignment="1">
      <alignment horizontal="center" textRotation="90" wrapText="1"/>
    </xf>
    <xf numFmtId="4" fontId="27" fillId="24" borderId="0" xfId="0" applyNumberFormat="1" applyFont="1" applyFill="1" applyBorder="1" applyAlignment="1">
      <alignment horizontal="center" textRotation="90" wrapText="1"/>
    </xf>
    <xf numFmtId="4" fontId="27" fillId="0" borderId="0" xfId="0" applyNumberFormat="1" applyFont="1" applyFill="1" applyBorder="1" applyAlignment="1" quotePrefix="1">
      <alignment horizontal="right" vertical="center"/>
    </xf>
    <xf numFmtId="1" fontId="21" fillId="0" borderId="0" xfId="0" applyNumberFormat="1" applyFont="1" applyFill="1" applyBorder="1" applyAlignment="1">
      <alignment horizontal="center" vertical="center"/>
    </xf>
    <xf numFmtId="0" fontId="21" fillId="0" borderId="0" xfId="0" applyFont="1" applyFill="1" applyBorder="1" applyAlignment="1" quotePrefix="1">
      <alignment/>
    </xf>
    <xf numFmtId="4" fontId="17" fillId="0" borderId="0" xfId="0" applyNumberFormat="1" applyFont="1" applyAlignment="1">
      <alignment/>
    </xf>
    <xf numFmtId="181" fontId="17" fillId="0" borderId="0" xfId="0" applyNumberFormat="1" applyFont="1" applyFill="1" applyBorder="1" applyAlignment="1">
      <alignment horizontal="right" vertical="center"/>
    </xf>
    <xf numFmtId="186" fontId="17" fillId="0" borderId="0" xfId="0" applyNumberFormat="1" applyFont="1" applyFill="1" applyBorder="1" applyAlignment="1">
      <alignment horizontal="right"/>
    </xf>
    <xf numFmtId="10" fontId="24" fillId="0" borderId="0" xfId="0" applyNumberFormat="1" applyFont="1" applyFill="1" applyBorder="1" applyAlignment="1">
      <alignment vertical="center"/>
    </xf>
    <xf numFmtId="10" fontId="24" fillId="0" borderId="0" xfId="0" applyNumberFormat="1" applyFont="1" applyFill="1" applyBorder="1" applyAlignment="1">
      <alignment vertical="center"/>
    </xf>
    <xf numFmtId="4" fontId="24" fillId="0" borderId="0" xfId="0" applyNumberFormat="1" applyFont="1" applyAlignment="1">
      <alignment horizontal="right"/>
    </xf>
    <xf numFmtId="4" fontId="20" fillId="0" borderId="0" xfId="0" applyNumberFormat="1" applyFont="1" applyFill="1" applyBorder="1" applyAlignment="1" quotePrefix="1">
      <alignment horizontal="right" vertical="center"/>
    </xf>
    <xf numFmtId="0" fontId="17" fillId="0" borderId="0" xfId="0" applyFont="1" applyAlignment="1" quotePrefix="1">
      <alignment/>
    </xf>
    <xf numFmtId="2" fontId="17" fillId="0" borderId="0" xfId="0" applyNumberFormat="1" applyFont="1" applyFill="1" applyBorder="1" applyAlignment="1">
      <alignment horizontal="center" vertical="center"/>
    </xf>
    <xf numFmtId="4" fontId="27" fillId="19" borderId="0" xfId="0" applyNumberFormat="1" applyFont="1" applyFill="1" applyBorder="1" applyAlignment="1">
      <alignment/>
    </xf>
    <xf numFmtId="0" fontId="26" fillId="0" borderId="0" xfId="36" applyFont="1" applyFill="1" applyAlignment="1" applyProtection="1">
      <alignment/>
      <protection/>
    </xf>
    <xf numFmtId="10" fontId="24" fillId="0" borderId="0" xfId="0" applyNumberFormat="1" applyFont="1" applyFill="1" applyBorder="1" applyAlignment="1">
      <alignment vertical="center"/>
    </xf>
    <xf numFmtId="1" fontId="20" fillId="0" borderId="0" xfId="0" applyNumberFormat="1" applyFont="1" applyFill="1" applyBorder="1" applyAlignment="1">
      <alignment horizontal="left" vertical="center"/>
    </xf>
    <xf numFmtId="0" fontId="27" fillId="0" borderId="0" xfId="0" applyFont="1" applyFill="1" applyBorder="1" applyAlignment="1">
      <alignment/>
    </xf>
    <xf numFmtId="10" fontId="22" fillId="0" borderId="0" xfId="0" applyNumberFormat="1" applyFont="1" applyFill="1" applyBorder="1" applyAlignment="1">
      <alignment vertical="center"/>
    </xf>
    <xf numFmtId="0" fontId="27" fillId="0" borderId="0" xfId="0" applyFont="1" applyFill="1" applyBorder="1" applyAlignment="1">
      <alignment vertical="center" wrapText="1"/>
    </xf>
    <xf numFmtId="10" fontId="20" fillId="0" borderId="0" xfId="0" applyNumberFormat="1" applyFont="1" applyFill="1" applyBorder="1" applyAlignment="1">
      <alignment vertical="center"/>
    </xf>
    <xf numFmtId="0" fontId="27" fillId="19" borderId="0" xfId="0" applyFont="1" applyFill="1" applyBorder="1" applyAlignment="1">
      <alignment/>
    </xf>
    <xf numFmtId="4" fontId="23" fillId="0" borderId="0" xfId="0" applyNumberFormat="1" applyFont="1" applyFill="1" applyBorder="1" applyAlignment="1">
      <alignment horizontal="right" vertical="center"/>
    </xf>
    <xf numFmtId="4" fontId="21" fillId="0" borderId="0" xfId="0" applyNumberFormat="1" applyFont="1" applyFill="1" applyBorder="1" applyAlignment="1">
      <alignment horizontal="right" vertical="center"/>
    </xf>
    <xf numFmtId="4" fontId="17" fillId="25" borderId="0" xfId="0" applyNumberFormat="1" applyFont="1" applyFill="1" applyBorder="1" applyAlignment="1" quotePrefix="1">
      <alignment horizontal="right" vertical="center"/>
    </xf>
    <xf numFmtId="4" fontId="17" fillId="15" borderId="0" xfId="0" applyNumberFormat="1" applyFont="1" applyFill="1" applyBorder="1" applyAlignment="1">
      <alignment horizontal="right" vertical="center"/>
    </xf>
    <xf numFmtId="4" fontId="17" fillId="19" borderId="0" xfId="0" applyNumberFormat="1" applyFont="1" applyFill="1" applyBorder="1" applyAlignment="1" quotePrefix="1">
      <alignment horizontal="right" vertical="center"/>
    </xf>
    <xf numFmtId="4" fontId="17" fillId="26" borderId="0" xfId="0" applyNumberFormat="1" applyFont="1" applyFill="1" applyBorder="1" applyAlignment="1" quotePrefix="1">
      <alignment horizontal="right" vertical="center"/>
    </xf>
    <xf numFmtId="4" fontId="17" fillId="26" borderId="0" xfId="0" applyNumberFormat="1" applyFont="1" applyFill="1" applyBorder="1" applyAlignment="1">
      <alignment horizontal="right" vertical="center"/>
    </xf>
    <xf numFmtId="10" fontId="24" fillId="24" borderId="0" xfId="0" applyNumberFormat="1" applyFont="1" applyFill="1" applyBorder="1" applyAlignment="1">
      <alignment vertical="center"/>
    </xf>
    <xf numFmtId="4" fontId="21" fillId="0" borderId="0" xfId="0" applyNumberFormat="1" applyFont="1" applyFill="1" applyBorder="1" applyAlignment="1" quotePrefix="1">
      <alignment vertical="center"/>
    </xf>
    <xf numFmtId="4" fontId="1" fillId="0" borderId="0" xfId="0" applyNumberFormat="1" applyFont="1" applyAlignment="1">
      <alignment/>
    </xf>
    <xf numFmtId="0" fontId="31" fillId="0" borderId="0" xfId="0" applyFont="1" applyFill="1" applyBorder="1" applyAlignment="1">
      <alignment horizontal="center" textRotation="90"/>
    </xf>
    <xf numFmtId="0" fontId="24" fillId="0" borderId="0" xfId="0" applyFont="1" applyFill="1" applyBorder="1" applyAlignment="1">
      <alignment horizontal="center" vertical="center"/>
    </xf>
    <xf numFmtId="14" fontId="24"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14" fontId="31" fillId="0" borderId="0" xfId="0" applyNumberFormat="1" applyFont="1" applyFill="1" applyBorder="1" applyAlignment="1">
      <alignment horizontal="center" vertical="center"/>
    </xf>
    <xf numFmtId="14" fontId="27" fillId="0" borderId="0" xfId="0" applyNumberFormat="1" applyFont="1" applyFill="1" applyBorder="1" applyAlignment="1">
      <alignment horizontal="center" vertical="center"/>
    </xf>
    <xf numFmtId="0" fontId="31" fillId="0" borderId="0" xfId="0" applyFont="1" applyFill="1" applyBorder="1" applyAlignment="1" quotePrefix="1">
      <alignment horizontal="center" vertical="center"/>
    </xf>
    <xf numFmtId="14" fontId="31" fillId="0" borderId="0" xfId="0" applyNumberFormat="1" applyFont="1" applyFill="1" applyBorder="1" applyAlignment="1" quotePrefix="1">
      <alignment horizontal="center"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xf>
    <xf numFmtId="14" fontId="31" fillId="0" borderId="0" xfId="0" applyNumberFormat="1" applyFont="1" applyFill="1" applyBorder="1" applyAlignment="1">
      <alignment horizontal="center"/>
    </xf>
    <xf numFmtId="0" fontId="31" fillId="19" borderId="0" xfId="0" applyFont="1" applyFill="1" applyBorder="1" applyAlignment="1">
      <alignment horizontal="center"/>
    </xf>
    <xf numFmtId="0" fontId="24" fillId="0" borderId="0" xfId="0" applyFont="1" applyFill="1" applyBorder="1" applyAlignment="1">
      <alignment horizontal="center"/>
    </xf>
    <xf numFmtId="0" fontId="22" fillId="0" borderId="0" xfId="0" applyFont="1" applyFill="1" applyBorder="1" applyAlignment="1">
      <alignment horizontal="center"/>
    </xf>
    <xf numFmtId="14" fontId="31" fillId="19" borderId="0" xfId="0" applyNumberFormat="1" applyFont="1" applyFill="1" applyBorder="1" applyAlignment="1">
      <alignment horizontal="center"/>
    </xf>
    <xf numFmtId="1" fontId="24" fillId="0" borderId="0" xfId="0" applyNumberFormat="1" applyFont="1" applyFill="1" applyBorder="1" applyAlignment="1">
      <alignment horizontal="center"/>
    </xf>
    <xf numFmtId="0" fontId="37" fillId="0" borderId="0" xfId="0" applyFont="1" applyFill="1" applyBorder="1" applyAlignment="1">
      <alignment horizontal="center"/>
    </xf>
    <xf numFmtId="14" fontId="17" fillId="0" borderId="0" xfId="0" applyNumberFormat="1" applyFont="1" applyFill="1" applyBorder="1" applyAlignment="1">
      <alignment horizontal="right" vertical="center"/>
    </xf>
    <xf numFmtId="4" fontId="24" fillId="0" borderId="0" xfId="0" applyNumberFormat="1" applyFont="1" applyFill="1" applyBorder="1" applyAlignment="1" quotePrefix="1">
      <alignment horizontal="right" vertical="center"/>
    </xf>
    <xf numFmtId="4" fontId="24" fillId="0" borderId="0" xfId="0" applyNumberFormat="1" applyFont="1" applyFill="1" applyBorder="1" applyAlignment="1">
      <alignment horizontal="right" vertical="center"/>
    </xf>
    <xf numFmtId="4" fontId="21" fillId="0" borderId="0" xfId="0" applyNumberFormat="1" applyFont="1" applyFill="1" applyBorder="1" applyAlignment="1">
      <alignment horizontal="right" vertical="center"/>
    </xf>
    <xf numFmtId="14" fontId="21" fillId="0" borderId="0" xfId="0" applyNumberFormat="1" applyFont="1" applyFill="1" applyBorder="1" applyAlignment="1" quotePrefix="1">
      <alignment horizontal="center" vertical="center"/>
    </xf>
    <xf numFmtId="4" fontId="21" fillId="0" borderId="0" xfId="0" applyNumberFormat="1" applyFont="1" applyFill="1" applyBorder="1" applyAlignment="1" quotePrefix="1">
      <alignment horizontal="center" vertical="center"/>
    </xf>
    <xf numFmtId="171" fontId="21" fillId="0" borderId="0" xfId="0" applyNumberFormat="1" applyFont="1" applyFill="1" applyBorder="1" applyAlignment="1">
      <alignment horizontal="center" vertical="center"/>
    </xf>
    <xf numFmtId="1" fontId="21" fillId="0" borderId="0" xfId="0" applyNumberFormat="1" applyFont="1" applyFill="1" applyBorder="1" applyAlignment="1">
      <alignment horizontal="center" vertical="center"/>
    </xf>
    <xf numFmtId="14"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1" fontId="21" fillId="0" borderId="0" xfId="0" applyNumberFormat="1" applyFont="1" applyFill="1" applyBorder="1" applyAlignment="1" quotePrefix="1">
      <alignment horizontal="center" vertical="center"/>
    </xf>
    <xf numFmtId="1" fontId="21" fillId="0" borderId="0" xfId="0" applyNumberFormat="1" applyFont="1" applyFill="1" applyBorder="1" applyAlignment="1">
      <alignment horizontal="left" vertical="center"/>
    </xf>
    <xf numFmtId="0" fontId="21" fillId="0" borderId="0" xfId="0" applyNumberFormat="1" applyFont="1" applyFill="1" applyBorder="1" applyAlignment="1" quotePrefix="1">
      <alignment horizontal="left" vertical="center"/>
    </xf>
    <xf numFmtId="0" fontId="21" fillId="0" borderId="0" xfId="0" applyNumberFormat="1" applyFont="1" applyFill="1" applyBorder="1" applyAlignment="1" quotePrefix="1">
      <alignment horizontal="center" vertical="center"/>
    </xf>
    <xf numFmtId="4" fontId="21" fillId="0" borderId="0" xfId="0" applyNumberFormat="1" applyFont="1" applyFill="1" applyBorder="1" applyAlignment="1">
      <alignment horizontal="center" vertical="center"/>
    </xf>
    <xf numFmtId="0" fontId="21" fillId="0" borderId="0" xfId="0" applyFont="1" applyFill="1" applyBorder="1" applyAlignment="1">
      <alignment vertical="center"/>
    </xf>
    <xf numFmtId="14" fontId="21" fillId="0" borderId="0" xfId="0" applyNumberFormat="1" applyFont="1" applyFill="1" applyBorder="1" applyAlignment="1">
      <alignment vertical="center"/>
    </xf>
    <xf numFmtId="0" fontId="21" fillId="0" borderId="0" xfId="0" applyFont="1" applyFill="1" applyBorder="1" applyAlignment="1">
      <alignment horizontal="center" vertical="center"/>
    </xf>
    <xf numFmtId="14" fontId="21" fillId="0" borderId="0" xfId="0" applyNumberFormat="1" applyFont="1" applyFill="1" applyBorder="1" applyAlignment="1">
      <alignment horizontal="center" vertical="center"/>
    </xf>
    <xf numFmtId="4" fontId="21" fillId="0" borderId="0" xfId="0" applyNumberFormat="1" applyFont="1" applyFill="1" applyBorder="1" applyAlignment="1">
      <alignment vertical="center"/>
    </xf>
    <xf numFmtId="0" fontId="21" fillId="0" borderId="0" xfId="0" applyFont="1" applyFill="1" applyBorder="1" applyAlignment="1" quotePrefix="1">
      <alignment horizontal="center" vertical="center"/>
    </xf>
    <xf numFmtId="4" fontId="21" fillId="0" borderId="0" xfId="0" applyNumberFormat="1" applyFont="1" applyFill="1" applyBorder="1" applyAlignment="1">
      <alignment horizontal="center" vertical="center"/>
    </xf>
    <xf numFmtId="181" fontId="21" fillId="0" borderId="0" xfId="0" applyNumberFormat="1" applyFont="1" applyFill="1" applyBorder="1" applyAlignment="1">
      <alignment horizontal="center" vertical="center"/>
    </xf>
    <xf numFmtId="4" fontId="21" fillId="0" borderId="0" xfId="0" applyNumberFormat="1" applyFont="1" applyFill="1" applyBorder="1" applyAlignment="1">
      <alignment vertical="center"/>
    </xf>
    <xf numFmtId="10" fontId="21" fillId="0" borderId="0" xfId="0" applyNumberFormat="1" applyFont="1" applyFill="1" applyBorder="1" applyAlignment="1">
      <alignment vertical="center"/>
    </xf>
    <xf numFmtId="0" fontId="21" fillId="24" borderId="0" xfId="0" applyFont="1" applyFill="1" applyBorder="1" applyAlignment="1">
      <alignment horizontal="left" vertical="center"/>
    </xf>
    <xf numFmtId="0" fontId="21" fillId="24" borderId="0" xfId="0" applyFont="1" applyFill="1" applyBorder="1" applyAlignment="1">
      <alignment horizontal="left"/>
    </xf>
    <xf numFmtId="14" fontId="21" fillId="24" borderId="0" xfId="0" applyNumberFormat="1" applyFont="1" applyFill="1" applyBorder="1" applyAlignment="1">
      <alignment horizontal="center" vertical="center"/>
    </xf>
    <xf numFmtId="4" fontId="17" fillId="0" borderId="0" xfId="0" applyNumberFormat="1" applyFont="1" applyFill="1" applyBorder="1" applyAlignment="1">
      <alignment wrapText="1"/>
    </xf>
    <xf numFmtId="0" fontId="21" fillId="0" borderId="0" xfId="0" applyFont="1" applyFill="1" applyBorder="1" applyAlignment="1" quotePrefix="1">
      <alignment vertical="center"/>
    </xf>
    <xf numFmtId="0" fontId="24" fillId="0" borderId="0" xfId="0" applyFont="1" applyFill="1" applyBorder="1" applyAlignment="1">
      <alignment/>
    </xf>
    <xf numFmtId="0" fontId="17" fillId="0" borderId="0" xfId="0" applyFont="1" applyFill="1" applyAlignment="1">
      <alignment wrapText="1"/>
    </xf>
    <xf numFmtId="14" fontId="21" fillId="0" borderId="0" xfId="0" applyNumberFormat="1" applyFont="1" applyFill="1" applyBorder="1" applyAlignment="1">
      <alignment horizontal="left" vertical="center"/>
    </xf>
    <xf numFmtId="14" fontId="41" fillId="0" borderId="0" xfId="0" applyNumberFormat="1" applyFont="1" applyFill="1" applyBorder="1" applyAlignment="1">
      <alignment horizontal="left" vertical="center"/>
    </xf>
    <xf numFmtId="0" fontId="42" fillId="0" borderId="0" xfId="36" applyFont="1" applyFill="1" applyBorder="1" applyAlignment="1" applyProtection="1">
      <alignment vertical="center"/>
      <protection/>
    </xf>
    <xf numFmtId="0" fontId="21" fillId="0" borderId="0" xfId="0" applyFont="1" applyFill="1" applyBorder="1" applyAlignment="1" quotePrefix="1">
      <alignment horizontal="left"/>
    </xf>
    <xf numFmtId="4" fontId="17" fillId="0" borderId="0" xfId="0" applyNumberFormat="1" applyFont="1" applyFill="1" applyBorder="1" applyAlignment="1">
      <alignment horizontal="left" wrapText="1"/>
    </xf>
    <xf numFmtId="0" fontId="2" fillId="0" borderId="0" xfId="36" applyAlignment="1">
      <alignment/>
    </xf>
    <xf numFmtId="0" fontId="2" fillId="0" borderId="0" xfId="36" applyFill="1" applyBorder="1" applyAlignment="1">
      <alignment vertical="center"/>
    </xf>
    <xf numFmtId="4" fontId="2" fillId="0" borderId="0" xfId="36" applyNumberFormat="1" applyFill="1" applyBorder="1" applyAlignment="1">
      <alignment vertical="center"/>
    </xf>
    <xf numFmtId="171" fontId="17" fillId="0" borderId="0" xfId="0" applyNumberFormat="1" applyFont="1" applyFill="1" applyBorder="1" applyAlignment="1" quotePrefix="1">
      <alignment horizontal="left"/>
    </xf>
    <xf numFmtId="0" fontId="60" fillId="0" borderId="31" xfId="0" applyFont="1" applyFill="1" applyBorder="1" applyAlignment="1">
      <alignment horizontal="center" vertical="center" textRotation="90" wrapText="1"/>
    </xf>
    <xf numFmtId="0" fontId="60" fillId="0" borderId="31" xfId="0" applyFont="1" applyFill="1" applyBorder="1" applyAlignment="1">
      <alignment horizontal="center" vertical="center" textRotation="90"/>
    </xf>
    <xf numFmtId="1" fontId="60" fillId="0" borderId="31" xfId="0" applyNumberFormat="1" applyFont="1" applyFill="1" applyBorder="1" applyAlignment="1">
      <alignment horizontal="center" vertical="center" textRotation="90" wrapText="1"/>
    </xf>
    <xf numFmtId="4" fontId="60" fillId="0" borderId="31" xfId="0" applyNumberFormat="1" applyFont="1" applyFill="1" applyBorder="1" applyAlignment="1">
      <alignment horizontal="center" vertical="center" textRotation="90"/>
    </xf>
    <xf numFmtId="4" fontId="60" fillId="0" borderId="31" xfId="0" applyNumberFormat="1" applyFont="1" applyFill="1" applyBorder="1" applyAlignment="1">
      <alignment horizontal="center" vertical="center" textRotation="90" wrapText="1"/>
    </xf>
    <xf numFmtId="4" fontId="61" fillId="0" borderId="31" xfId="0" applyNumberFormat="1" applyFont="1" applyFill="1" applyBorder="1" applyAlignment="1">
      <alignment horizontal="center" vertical="center" textRotation="90" wrapText="1"/>
    </xf>
    <xf numFmtId="14" fontId="62" fillId="0" borderId="31" xfId="0" applyNumberFormat="1" applyFont="1" applyFill="1" applyBorder="1" applyAlignment="1">
      <alignment horizontal="center" vertical="center" textRotation="90" wrapText="1"/>
    </xf>
    <xf numFmtId="1" fontId="62" fillId="0" borderId="31" xfId="0" applyNumberFormat="1" applyFont="1" applyFill="1" applyBorder="1" applyAlignment="1">
      <alignment horizontal="center" vertical="center" textRotation="90" wrapText="1"/>
    </xf>
    <xf numFmtId="175" fontId="63" fillId="0" borderId="31" xfId="0" applyNumberFormat="1" applyFont="1" applyFill="1" applyBorder="1" applyAlignment="1">
      <alignment horizontal="center" vertical="center" textRotation="90" wrapText="1"/>
    </xf>
    <xf numFmtId="175" fontId="62" fillId="0" borderId="31" xfId="0" applyNumberFormat="1" applyFont="1" applyFill="1" applyBorder="1" applyAlignment="1">
      <alignment horizontal="center" vertical="center" textRotation="90" wrapText="1"/>
    </xf>
    <xf numFmtId="4" fontId="62" fillId="0" borderId="31" xfId="0" applyNumberFormat="1" applyFont="1" applyFill="1" applyBorder="1" applyAlignment="1">
      <alignment horizontal="center" vertical="center" textRotation="90" wrapText="1"/>
    </xf>
    <xf numFmtId="0" fontId="64" fillId="0" borderId="31" xfId="0" applyFont="1" applyFill="1" applyBorder="1" applyAlignment="1">
      <alignment horizontal="center" vertical="center"/>
    </xf>
    <xf numFmtId="0" fontId="64" fillId="0" borderId="31" xfId="0" applyFont="1" applyFill="1" applyBorder="1" applyAlignment="1">
      <alignment horizontal="center" vertical="center" textRotation="90"/>
    </xf>
    <xf numFmtId="0" fontId="64" fillId="0" borderId="31" xfId="0" applyFont="1" applyFill="1" applyBorder="1" applyAlignment="1">
      <alignment horizontal="center" vertical="center" textRotation="90" wrapText="1"/>
    </xf>
    <xf numFmtId="0" fontId="0" fillId="0" borderId="0" xfId="0" applyFill="1" applyAlignment="1">
      <alignment/>
    </xf>
    <xf numFmtId="0" fontId="60" fillId="14" borderId="31" xfId="0" applyFont="1" applyFill="1" applyBorder="1" applyAlignment="1">
      <alignment horizontal="center" vertical="center"/>
    </xf>
    <xf numFmtId="0" fontId="65" fillId="14" borderId="31" xfId="0" applyFont="1" applyFill="1" applyBorder="1" applyAlignment="1">
      <alignment horizontal="center" vertical="center"/>
    </xf>
    <xf numFmtId="0" fontId="60" fillId="14" borderId="31" xfId="0" applyFont="1" applyFill="1" applyBorder="1" applyAlignment="1">
      <alignment vertical="center" wrapText="1"/>
    </xf>
    <xf numFmtId="1" fontId="60" fillId="14" borderId="31" xfId="0" applyNumberFormat="1" applyFont="1" applyFill="1" applyBorder="1" applyAlignment="1">
      <alignment vertical="center"/>
    </xf>
    <xf numFmtId="4" fontId="60" fillId="14" borderId="31" xfId="0" applyNumberFormat="1" applyFont="1" applyFill="1" applyBorder="1" applyAlignment="1">
      <alignment horizontal="left" vertical="center" wrapText="1"/>
    </xf>
    <xf numFmtId="0" fontId="60" fillId="14" borderId="31" xfId="0" applyFont="1" applyFill="1" applyBorder="1" applyAlignment="1">
      <alignment horizontal="center" vertical="center" wrapText="1"/>
    </xf>
    <xf numFmtId="4" fontId="61" fillId="14" borderId="33" xfId="0" applyNumberFormat="1" applyFont="1" applyFill="1" applyBorder="1" applyAlignment="1">
      <alignment horizontal="right" vertical="center"/>
    </xf>
    <xf numFmtId="4" fontId="61" fillId="14" borderId="31" xfId="0" applyNumberFormat="1" applyFont="1" applyFill="1" applyBorder="1" applyAlignment="1">
      <alignment horizontal="right" vertical="center"/>
    </xf>
    <xf numFmtId="14" fontId="63" fillId="14" borderId="34" xfId="0" applyNumberFormat="1" applyFont="1" applyFill="1" applyBorder="1" applyAlignment="1">
      <alignment horizontal="center" vertical="center"/>
    </xf>
    <xf numFmtId="1" fontId="61" fillId="14" borderId="31" xfId="0" applyNumberFormat="1" applyFont="1" applyFill="1" applyBorder="1" applyAlignment="1">
      <alignment horizontal="center" vertical="center"/>
    </xf>
    <xf numFmtId="175" fontId="60" fillId="14" borderId="31" xfId="0" applyNumberFormat="1" applyFont="1" applyFill="1" applyBorder="1" applyAlignment="1">
      <alignment horizontal="center" vertical="center"/>
    </xf>
    <xf numFmtId="14" fontId="60" fillId="14" borderId="31" xfId="0" applyNumberFormat="1" applyFont="1" applyFill="1" applyBorder="1" applyAlignment="1">
      <alignment horizontal="center" vertical="center"/>
    </xf>
    <xf numFmtId="14" fontId="66" fillId="14" borderId="31" xfId="0" applyNumberFormat="1" applyFont="1" applyFill="1" applyBorder="1" applyAlignment="1">
      <alignment horizontal="center" vertical="center"/>
    </xf>
    <xf numFmtId="4" fontId="60" fillId="14" borderId="31" xfId="0" applyNumberFormat="1" applyFont="1" applyFill="1" applyBorder="1" applyAlignment="1">
      <alignment horizontal="right" vertical="center"/>
    </xf>
    <xf numFmtId="0" fontId="0" fillId="14" borderId="31" xfId="0" applyFill="1" applyBorder="1" applyAlignment="1">
      <alignment horizontal="center" vertical="center"/>
    </xf>
    <xf numFmtId="0" fontId="0" fillId="14" borderId="31" xfId="0" applyFill="1" applyBorder="1" applyAlignment="1">
      <alignment/>
    </xf>
    <xf numFmtId="14" fontId="0" fillId="14" borderId="31" xfId="0" applyNumberFormat="1" applyFill="1" applyBorder="1" applyAlignment="1" quotePrefix="1">
      <alignment horizontal="center" vertical="center"/>
    </xf>
    <xf numFmtId="14" fontId="67" fillId="14" borderId="31" xfId="0" applyNumberFormat="1" applyFont="1" applyFill="1" applyBorder="1" applyAlignment="1">
      <alignment horizontal="center" vertical="center"/>
    </xf>
    <xf numFmtId="0" fontId="60" fillId="14" borderId="31" xfId="0" applyFont="1" applyFill="1" applyBorder="1" applyAlignment="1">
      <alignment horizontal="left" vertical="center" wrapText="1"/>
    </xf>
    <xf numFmtId="4" fontId="66" fillId="14" borderId="31" xfId="0" applyNumberFormat="1" applyFont="1" applyFill="1" applyBorder="1" applyAlignment="1">
      <alignment horizontal="right" vertical="center"/>
    </xf>
    <xf numFmtId="0" fontId="0" fillId="14" borderId="31" xfId="0" applyFill="1" applyBorder="1" applyAlignment="1">
      <alignment horizontal="left" vertical="center" wrapText="1"/>
    </xf>
    <xf numFmtId="14" fontId="0" fillId="14" borderId="31" xfId="0" applyNumberFormat="1" applyFill="1" applyBorder="1" applyAlignment="1">
      <alignment horizontal="center" vertical="center"/>
    </xf>
    <xf numFmtId="0" fontId="0" fillId="0" borderId="0" xfId="0" applyFill="1" applyAlignment="1">
      <alignment horizontal="right" vertical="center" wrapText="1"/>
    </xf>
    <xf numFmtId="0" fontId="60" fillId="0" borderId="31" xfId="0" applyFont="1" applyFill="1" applyBorder="1" applyAlignment="1">
      <alignment horizontal="center" vertical="center"/>
    </xf>
    <xf numFmtId="0" fontId="65" fillId="0" borderId="31" xfId="0" applyFont="1" applyFill="1" applyBorder="1" applyAlignment="1">
      <alignment horizontal="center" vertical="center"/>
    </xf>
    <xf numFmtId="0" fontId="60" fillId="0" borderId="31" xfId="0" applyFont="1" applyFill="1" applyBorder="1" applyAlignment="1">
      <alignment vertical="center" wrapText="1"/>
    </xf>
    <xf numFmtId="1" fontId="60" fillId="0" borderId="31" xfId="0" applyNumberFormat="1" applyFont="1" applyFill="1" applyBorder="1" applyAlignment="1">
      <alignment vertical="center"/>
    </xf>
    <xf numFmtId="4" fontId="60" fillId="0" borderId="31" xfId="0" applyNumberFormat="1" applyFont="1" applyFill="1" applyBorder="1" applyAlignment="1">
      <alignment horizontal="left" vertical="center" wrapText="1"/>
    </xf>
    <xf numFmtId="0" fontId="60" fillId="0" borderId="31" xfId="0" applyFont="1" applyFill="1" applyBorder="1" applyAlignment="1">
      <alignment horizontal="center" vertical="center" wrapText="1"/>
    </xf>
    <xf numFmtId="4" fontId="61" fillId="0" borderId="33" xfId="0" applyNumberFormat="1" applyFont="1" applyFill="1" applyBorder="1" applyAlignment="1">
      <alignment horizontal="right" vertical="center"/>
    </xf>
    <xf numFmtId="4" fontId="61" fillId="0" borderId="31" xfId="0" applyNumberFormat="1" applyFont="1" applyFill="1" applyBorder="1" applyAlignment="1">
      <alignment horizontal="right" vertical="center"/>
    </xf>
    <xf numFmtId="14" fontId="63" fillId="0" borderId="34" xfId="0" applyNumberFormat="1" applyFont="1" applyFill="1" applyBorder="1" applyAlignment="1">
      <alignment horizontal="center" vertical="center"/>
    </xf>
    <xf numFmtId="1" fontId="61" fillId="0" borderId="31" xfId="0" applyNumberFormat="1" applyFont="1" applyFill="1" applyBorder="1" applyAlignment="1">
      <alignment horizontal="center" vertical="center"/>
    </xf>
    <xf numFmtId="175" fontId="60" fillId="0" borderId="31" xfId="0" applyNumberFormat="1" applyFont="1" applyFill="1" applyBorder="1" applyAlignment="1">
      <alignment horizontal="center" vertical="center"/>
    </xf>
    <xf numFmtId="14" fontId="60" fillId="0" borderId="31" xfId="0" applyNumberFormat="1" applyFont="1" applyFill="1" applyBorder="1" applyAlignment="1">
      <alignment horizontal="center" vertical="center"/>
    </xf>
    <xf numFmtId="14" fontId="66" fillId="0" borderId="31" xfId="0" applyNumberFormat="1" applyFont="1" applyFill="1" applyBorder="1" applyAlignment="1">
      <alignment horizontal="center" vertical="center"/>
    </xf>
    <xf numFmtId="4" fontId="60" fillId="0" borderId="31" xfId="0" applyNumberFormat="1" applyFont="1" applyFill="1" applyBorder="1" applyAlignment="1">
      <alignment horizontal="right" vertical="center"/>
    </xf>
    <xf numFmtId="0" fontId="0" fillId="0" borderId="31" xfId="0" applyFill="1" applyBorder="1" applyAlignment="1">
      <alignment horizontal="left" vertical="top" wrapText="1"/>
    </xf>
    <xf numFmtId="0" fontId="0" fillId="0" borderId="31" xfId="0" applyFill="1" applyBorder="1" applyAlignment="1">
      <alignment vertical="top" wrapText="1"/>
    </xf>
    <xf numFmtId="14" fontId="0" fillId="0" borderId="31" xfId="0" applyNumberFormat="1" applyFill="1" applyBorder="1" applyAlignment="1">
      <alignment horizontal="center" vertical="center" wrapText="1"/>
    </xf>
    <xf numFmtId="14" fontId="0" fillId="0" borderId="31" xfId="0" applyNumberFormat="1" applyFill="1" applyBorder="1" applyAlignment="1">
      <alignment horizontal="center" vertical="center"/>
    </xf>
    <xf numFmtId="14" fontId="67" fillId="0" borderId="31" xfId="0" applyNumberFormat="1" applyFont="1" applyFill="1" applyBorder="1" applyAlignment="1" quotePrefix="1">
      <alignment horizontal="center" vertical="center"/>
    </xf>
    <xf numFmtId="1" fontId="60" fillId="0" borderId="31" xfId="0" applyNumberFormat="1" applyFont="1" applyFill="1" applyBorder="1" applyAlignment="1" quotePrefix="1">
      <alignment vertical="center"/>
    </xf>
    <xf numFmtId="14" fontId="63" fillId="0" borderId="34" xfId="0" applyNumberFormat="1" applyFont="1" applyFill="1" applyBorder="1" applyAlignment="1">
      <alignment horizontal="left" vertical="center"/>
    </xf>
    <xf numFmtId="0" fontId="0" fillId="0" borderId="31" xfId="0" applyFill="1" applyBorder="1" applyAlignment="1">
      <alignment/>
    </xf>
    <xf numFmtId="0" fontId="0" fillId="0" borderId="31" xfId="0" applyFill="1" applyBorder="1" applyAlignment="1">
      <alignment horizontal="center" vertical="center"/>
    </xf>
    <xf numFmtId="0" fontId="0" fillId="14" borderId="31" xfId="0" applyFill="1" applyBorder="1" applyAlignment="1">
      <alignment horizontal="left" vertical="top" wrapText="1"/>
    </xf>
    <xf numFmtId="14" fontId="0" fillId="14" borderId="31" xfId="0" applyNumberFormat="1" applyFill="1" applyBorder="1" applyAlignment="1">
      <alignment horizontal="center" vertical="center" wrapText="1"/>
    </xf>
    <xf numFmtId="14" fontId="67" fillId="14" borderId="31" xfId="0" applyNumberFormat="1" applyFont="1" applyFill="1" applyBorder="1" applyAlignment="1" quotePrefix="1">
      <alignment horizontal="center" vertical="center"/>
    </xf>
    <xf numFmtId="0" fontId="0" fillId="14" borderId="31" xfId="0" applyFill="1" applyBorder="1" applyAlignment="1">
      <alignment vertical="top"/>
    </xf>
    <xf numFmtId="0" fontId="0" fillId="14" borderId="31" xfId="0" applyFill="1" applyBorder="1" applyAlignment="1">
      <alignment vertical="top" wrapText="1"/>
    </xf>
    <xf numFmtId="0" fontId="60" fillId="0" borderId="31" xfId="0" applyFont="1" applyFill="1" applyBorder="1" applyAlignment="1" quotePrefix="1">
      <alignment horizontal="center" vertical="center"/>
    </xf>
    <xf numFmtId="4" fontId="66" fillId="0" borderId="31" xfId="0" applyNumberFormat="1" applyFont="1" applyFill="1" applyBorder="1" applyAlignment="1">
      <alignment horizontal="right" vertical="center"/>
    </xf>
    <xf numFmtId="0" fontId="0" fillId="0" borderId="31" xfId="0" applyFill="1" applyBorder="1" applyAlignment="1">
      <alignment horizontal="center" vertical="center" wrapText="1"/>
    </xf>
    <xf numFmtId="16" fontId="60" fillId="14" borderId="31" xfId="0" applyNumberFormat="1" applyFont="1" applyFill="1" applyBorder="1" applyAlignment="1" quotePrefix="1">
      <alignment horizontal="center" vertical="center"/>
    </xf>
    <xf numFmtId="14" fontId="68" fillId="14" borderId="31" xfId="0" applyNumberFormat="1" applyFont="1" applyFill="1" applyBorder="1" applyAlignment="1">
      <alignment horizontal="center" vertical="center" wrapText="1"/>
    </xf>
    <xf numFmtId="0" fontId="60" fillId="14" borderId="31" xfId="0" applyFont="1" applyFill="1" applyBorder="1" applyAlignment="1" quotePrefix="1">
      <alignment horizontal="center" vertical="center"/>
    </xf>
    <xf numFmtId="4" fontId="60" fillId="0" borderId="31" xfId="0" applyNumberFormat="1" applyFont="1" applyFill="1" applyBorder="1" applyAlignment="1" quotePrefix="1">
      <alignment horizontal="center" vertical="center"/>
    </xf>
    <xf numFmtId="0" fontId="66" fillId="0" borderId="31" xfId="0" applyFont="1" applyFill="1" applyBorder="1" applyAlignment="1">
      <alignment horizontal="right" vertical="center"/>
    </xf>
    <xf numFmtId="0" fontId="66" fillId="0" borderId="31" xfId="0" applyFont="1" applyFill="1" applyBorder="1" applyAlignment="1">
      <alignment horizontal="center" vertical="center"/>
    </xf>
    <xf numFmtId="0" fontId="66" fillId="0" borderId="31" xfId="0" applyFont="1" applyFill="1" applyBorder="1" applyAlignment="1">
      <alignment vertical="center"/>
    </xf>
    <xf numFmtId="1" fontId="66" fillId="0" borderId="31" xfId="0" applyNumberFormat="1" applyFont="1" applyFill="1" applyBorder="1" applyAlignment="1">
      <alignment vertical="center" wrapText="1"/>
    </xf>
    <xf numFmtId="4" fontId="66" fillId="0" borderId="31" xfId="0" applyNumberFormat="1" applyFont="1" applyFill="1" applyBorder="1" applyAlignment="1">
      <alignment horizontal="left" vertical="center"/>
    </xf>
    <xf numFmtId="0" fontId="66" fillId="0" borderId="31" xfId="0" applyFont="1" applyFill="1" applyBorder="1" applyAlignment="1">
      <alignment horizontal="center" vertical="center" wrapText="1"/>
    </xf>
    <xf numFmtId="4" fontId="65" fillId="0" borderId="33" xfId="0" applyNumberFormat="1" applyFont="1" applyFill="1" applyBorder="1" applyAlignment="1">
      <alignment horizontal="right" vertical="center"/>
    </xf>
    <xf numFmtId="4" fontId="65" fillId="0" borderId="31" xfId="0" applyNumberFormat="1" applyFont="1" applyFill="1" applyBorder="1" applyAlignment="1">
      <alignment horizontal="right" vertical="center"/>
    </xf>
    <xf numFmtId="14" fontId="62" fillId="0" borderId="34" xfId="0" applyNumberFormat="1" applyFont="1" applyFill="1" applyBorder="1" applyAlignment="1">
      <alignment horizontal="center"/>
    </xf>
    <xf numFmtId="1" fontId="66" fillId="0" borderId="31" xfId="0" applyNumberFormat="1" applyFont="1" applyFill="1" applyBorder="1" applyAlignment="1">
      <alignment horizontal="center"/>
    </xf>
    <xf numFmtId="175" fontId="66" fillId="0" borderId="31" xfId="0" applyNumberFormat="1" applyFont="1" applyFill="1" applyBorder="1" applyAlignment="1">
      <alignment horizontal="center"/>
    </xf>
    <xf numFmtId="4" fontId="60" fillId="0" borderId="31" xfId="0" applyNumberFormat="1" applyFont="1" applyFill="1" applyBorder="1" applyAlignment="1">
      <alignment horizontal="right"/>
    </xf>
    <xf numFmtId="4" fontId="0" fillId="0" borderId="0" xfId="0" applyNumberFormat="1" applyFont="1" applyFill="1" applyAlignment="1">
      <alignment horizontal="right"/>
    </xf>
    <xf numFmtId="0" fontId="60" fillId="0" borderId="0" xfId="0" applyFont="1" applyFill="1" applyBorder="1" applyAlignment="1">
      <alignment vertical="center" wrapText="1"/>
    </xf>
    <xf numFmtId="0" fontId="21" fillId="24" borderId="0" xfId="0" applyFont="1" applyFill="1" applyBorder="1" applyAlignment="1">
      <alignment vertical="center"/>
    </xf>
    <xf numFmtId="0" fontId="2" fillId="0" borderId="0" xfId="36" applyFill="1" applyBorder="1" applyAlignment="1">
      <alignment/>
    </xf>
    <xf numFmtId="4" fontId="2" fillId="0" borderId="0" xfId="36" applyNumberFormat="1" applyFill="1" applyBorder="1" applyAlignment="1">
      <alignment/>
    </xf>
    <xf numFmtId="181" fontId="21" fillId="0" borderId="0" xfId="0" applyNumberFormat="1" applyFont="1" applyFill="1" applyBorder="1" applyAlignment="1">
      <alignment/>
    </xf>
    <xf numFmtId="10" fontId="22" fillId="24" borderId="0" xfId="0" applyNumberFormat="1" applyFont="1" applyFill="1" applyBorder="1" applyAlignment="1">
      <alignment vertical="center"/>
    </xf>
    <xf numFmtId="0" fontId="17" fillId="24" borderId="0" xfId="0" applyFont="1" applyFill="1" applyBorder="1" applyAlignment="1">
      <alignment/>
    </xf>
    <xf numFmtId="0" fontId="17" fillId="0" borderId="0" xfId="0" applyFont="1" applyAlignment="1">
      <alignment/>
    </xf>
    <xf numFmtId="0" fontId="21" fillId="0" borderId="0" xfId="0" applyFont="1" applyFill="1" applyBorder="1" applyAlignment="1">
      <alignment vertical="center"/>
    </xf>
    <xf numFmtId="1" fontId="27" fillId="0" borderId="0" xfId="0" applyNumberFormat="1" applyFont="1" applyFill="1" applyBorder="1" applyAlignment="1">
      <alignment horizontal="center" vertical="center"/>
    </xf>
    <xf numFmtId="4" fontId="17" fillId="0" borderId="0" xfId="0" applyNumberFormat="1" applyFont="1" applyAlignment="1">
      <alignment horizontal="right"/>
    </xf>
    <xf numFmtId="4" fontId="21" fillId="0" borderId="0" xfId="0" applyNumberFormat="1" applyFont="1" applyFill="1" applyBorder="1" applyAlignment="1">
      <alignment horizontal="center"/>
    </xf>
    <xf numFmtId="4" fontId="21" fillId="24" borderId="0" xfId="0" applyNumberFormat="1" applyFont="1" applyFill="1" applyBorder="1" applyAlignment="1">
      <alignment vertical="center"/>
    </xf>
    <xf numFmtId="181" fontId="21" fillId="0" borderId="0" xfId="0" applyNumberFormat="1" applyFont="1" applyFill="1" applyBorder="1" applyAlignment="1">
      <alignment/>
    </xf>
    <xf numFmtId="0" fontId="60" fillId="0" borderId="0" xfId="0" applyFont="1" applyFill="1" applyBorder="1" applyAlignment="1">
      <alignment horizontal="left"/>
    </xf>
    <xf numFmtId="0" fontId="60" fillId="0" borderId="0" xfId="0" applyFont="1" applyFill="1" applyBorder="1" applyAlignment="1">
      <alignment horizontal="left" textRotation="90"/>
    </xf>
    <xf numFmtId="49" fontId="60" fillId="0" borderId="31" xfId="0" applyNumberFormat="1" applyFont="1" applyFill="1" applyBorder="1" applyAlignment="1">
      <alignment horizontal="left" wrapText="1"/>
    </xf>
    <xf numFmtId="0" fontId="66" fillId="19" borderId="0" xfId="0" applyFont="1" applyFill="1" applyBorder="1" applyAlignment="1">
      <alignment horizontal="left" vertical="center"/>
    </xf>
    <xf numFmtId="0" fontId="60" fillId="0" borderId="0" xfId="0" applyFont="1" applyFill="1" applyBorder="1" applyAlignment="1">
      <alignment horizontal="left" vertical="center" wrapText="1"/>
    </xf>
    <xf numFmtId="0" fontId="60" fillId="19" borderId="0" xfId="0" applyFont="1" applyFill="1" applyBorder="1" applyAlignment="1">
      <alignment horizontal="left"/>
    </xf>
    <xf numFmtId="4" fontId="60" fillId="0" borderId="0" xfId="0" applyNumberFormat="1" applyFont="1" applyFill="1" applyBorder="1" applyAlignment="1">
      <alignment horizontal="left"/>
    </xf>
    <xf numFmtId="0" fontId="60" fillId="0" borderId="0" xfId="0" applyFont="1" applyFill="1" applyBorder="1" applyAlignment="1">
      <alignment horizontal="left" vertical="center"/>
    </xf>
    <xf numFmtId="49" fontId="60" fillId="0" borderId="31" xfId="0" applyNumberFormat="1" applyFont="1" applyFill="1" applyBorder="1" applyAlignment="1" quotePrefix="1">
      <alignment horizontal="left" wrapText="1"/>
    </xf>
    <xf numFmtId="4" fontId="21" fillId="0" borderId="0" xfId="0" applyNumberFormat="1" applyFont="1" applyFill="1" applyBorder="1" applyAlignment="1">
      <alignment horizontal="left"/>
    </xf>
    <xf numFmtId="0" fontId="1" fillId="0" borderId="0" xfId="0" applyFont="1" applyAlignment="1">
      <alignment/>
    </xf>
    <xf numFmtId="1" fontId="17" fillId="0" borderId="0" xfId="0" applyNumberFormat="1" applyFont="1" applyFill="1" applyBorder="1" applyAlignment="1">
      <alignment horizontal="right" vertical="center"/>
    </xf>
    <xf numFmtId="0" fontId="4" fillId="0" borderId="26" xfId="0" applyFont="1" applyFill="1" applyBorder="1" applyAlignment="1">
      <alignment/>
    </xf>
    <xf numFmtId="0" fontId="4" fillId="0" borderId="0" xfId="0" applyFont="1" applyFill="1" applyBorder="1" applyAlignment="1">
      <alignment/>
    </xf>
    <xf numFmtId="1" fontId="17" fillId="0" borderId="0" xfId="0" applyNumberFormat="1" applyFont="1" applyFill="1" applyBorder="1" applyAlignment="1">
      <alignment horizontal="center" vertical="center"/>
    </xf>
    <xf numFmtId="0" fontId="0" fillId="0" borderId="0" xfId="0" applyAlignment="1">
      <alignment horizontal="center" vertical="center"/>
    </xf>
    <xf numFmtId="1" fontId="17" fillId="0" borderId="0" xfId="0" applyNumberFormat="1" applyFont="1" applyFill="1" applyBorder="1" applyAlignment="1" quotePrefix="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quotePrefix="1">
      <alignment horizontal="center" vertical="center"/>
    </xf>
    <xf numFmtId="44" fontId="17" fillId="0" borderId="0" xfId="62" applyFont="1" applyFill="1" applyBorder="1" applyAlignment="1">
      <alignment horizontal="center" vertical="center"/>
    </xf>
    <xf numFmtId="0" fontId="24" fillId="24" borderId="0" xfId="0" applyFont="1" applyFill="1" applyBorder="1" applyAlignment="1">
      <alignment horizontal="center"/>
    </xf>
    <xf numFmtId="0" fontId="24" fillId="3" borderId="0" xfId="0" applyFont="1" applyFill="1" applyBorder="1" applyAlignment="1">
      <alignment horizontal="center"/>
    </xf>
    <xf numFmtId="4" fontId="24" fillId="10" borderId="0" xfId="0" applyNumberFormat="1" applyFont="1" applyFill="1" applyBorder="1" applyAlignment="1">
      <alignment horizontal="center"/>
    </xf>
    <xf numFmtId="0" fontId="24" fillId="27" borderId="0" xfId="0" applyFont="1" applyFill="1" applyBorder="1" applyAlignment="1">
      <alignment horizontal="center"/>
    </xf>
    <xf numFmtId="0" fontId="24" fillId="16" borderId="0" xfId="0" applyFont="1" applyFill="1" applyBorder="1" applyAlignment="1">
      <alignment horizontal="center"/>
    </xf>
    <xf numFmtId="4" fontId="35" fillId="0" borderId="0" xfId="0" applyNumberFormat="1" applyFont="1" applyFill="1" applyBorder="1" applyAlignment="1">
      <alignment horizontal="right"/>
    </xf>
    <xf numFmtId="0" fontId="27" fillId="0" borderId="0" xfId="0" applyFont="1" applyFill="1" applyBorder="1" applyAlignment="1">
      <alignment horizontal="center"/>
    </xf>
    <xf numFmtId="0" fontId="27" fillId="0" borderId="35" xfId="0" applyFont="1" applyFill="1" applyBorder="1" applyAlignment="1">
      <alignment horizontal="center"/>
    </xf>
    <xf numFmtId="4" fontId="35" fillId="0" borderId="0" xfId="0" applyNumberFormat="1" applyFont="1" applyFill="1" applyBorder="1" applyAlignment="1">
      <alignment horizontal="center"/>
    </xf>
    <xf numFmtId="1" fontId="17" fillId="0" borderId="0" xfId="0" applyNumberFormat="1" applyFont="1" applyFill="1" applyBorder="1" applyAlignment="1">
      <alignment horizontal="center"/>
    </xf>
    <xf numFmtId="4" fontId="17" fillId="0" borderId="0" xfId="0" applyNumberFormat="1" applyFont="1" applyFill="1" applyBorder="1" applyAlignment="1">
      <alignment horizontal="right" vertical="center"/>
    </xf>
    <xf numFmtId="1" fontId="17" fillId="0" borderId="0" xfId="0" applyNumberFormat="1" applyFont="1" applyFill="1" applyBorder="1" applyAlignment="1" quotePrefix="1">
      <alignment horizontal="center"/>
    </xf>
    <xf numFmtId="0" fontId="17" fillId="0" borderId="36" xfId="0" applyFont="1" applyFill="1" applyBorder="1" applyAlignment="1">
      <alignment horizontal="center"/>
    </xf>
    <xf numFmtId="0" fontId="17" fillId="0" borderId="0" xfId="0" applyFont="1" applyFill="1" applyAlignment="1">
      <alignment horizontal="center"/>
    </xf>
    <xf numFmtId="0" fontId="17" fillId="0" borderId="0" xfId="0" applyFont="1" applyAlignment="1">
      <alignment horizontal="center"/>
    </xf>
    <xf numFmtId="0" fontId="27" fillId="0" borderId="0" xfId="0" applyFont="1" applyFill="1" applyBorder="1" applyAlignment="1">
      <alignment horizontal="center" vertical="center"/>
    </xf>
    <xf numFmtId="0" fontId="17" fillId="0" borderId="0" xfId="0" applyFont="1" applyAlignment="1">
      <alignment horizontal="center" vertical="center"/>
    </xf>
    <xf numFmtId="0" fontId="27" fillId="0" borderId="35" xfId="0" applyFont="1" applyFill="1" applyBorder="1" applyAlignment="1">
      <alignment horizontal="center" vertical="center"/>
    </xf>
    <xf numFmtId="0" fontId="27" fillId="0" borderId="0" xfId="0" applyFont="1" applyFill="1" applyBorder="1" applyAlignment="1">
      <alignment horizontal="center" vertical="center" textRotation="90"/>
    </xf>
    <xf numFmtId="0" fontId="27" fillId="0" borderId="35" xfId="0" applyFont="1" applyFill="1" applyBorder="1" applyAlignment="1">
      <alignment horizontal="center" vertical="center" textRotation="90"/>
    </xf>
    <xf numFmtId="0" fontId="27" fillId="0" borderId="0" xfId="0" applyFont="1" applyFill="1" applyBorder="1" applyAlignment="1">
      <alignment horizontal="center" vertical="center" wrapText="1"/>
    </xf>
    <xf numFmtId="0" fontId="27" fillId="8" borderId="0" xfId="0" applyFont="1" applyFill="1" applyBorder="1" applyAlignment="1">
      <alignment horizontal="center"/>
    </xf>
    <xf numFmtId="0" fontId="24" fillId="4" borderId="0" xfId="0" applyFont="1" applyFill="1" applyBorder="1" applyAlignment="1">
      <alignment horizontal="center"/>
    </xf>
    <xf numFmtId="0" fontId="4" fillId="0" borderId="35" xfId="0" applyFont="1" applyFill="1" applyBorder="1" applyAlignment="1">
      <alignment/>
    </xf>
    <xf numFmtId="0" fontId="4" fillId="0" borderId="37" xfId="0" applyFont="1" applyFill="1" applyBorder="1" applyAlignment="1">
      <alignment/>
    </xf>
    <xf numFmtId="0" fontId="4" fillId="0" borderId="25" xfId="0" applyFont="1" applyFill="1" applyBorder="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isura%206.2/Misura%206_2%20Autonomie%20Locali/schede%20finali%20e%20progetti/noicattaro%20OK/lettera%20richiesta%20integrazioni.doc" TargetMode="External" /><Relationship Id="rId2" Type="http://schemas.openxmlformats.org/officeDocument/2006/relationships/hyperlink" Target="../../Misura%206.2/Misura%206_2%20Autonomie%20Locali/schede%20finali%20e%20progetti/Martina%20Franca%20-%20OK/Richiesta%20integrazioni.doc" TargetMode="External" /><Relationship Id="rId3" Type="http://schemas.openxmlformats.org/officeDocument/2006/relationships/hyperlink" Target="../../Misura%206.2/Misura%206_2%20Autonomie%20Locali/schede%20finali%20e%20progetti/Gioia%20del%20Colle%20%20OK/lettera%20richiesta%20integrazioni.doc" TargetMode="External" /><Relationship Id="rId4" Type="http://schemas.openxmlformats.org/officeDocument/2006/relationships/hyperlink" Target="../../Misura%206.2/Misura%206_2%20Autonomie%20Locali/schede%20finali%20e%20progetti/1_Modugno/lettera%20richiesta%20integrazioni.doc" TargetMode="External" /><Relationship Id="rId5" Type="http://schemas.openxmlformats.org/officeDocument/2006/relationships/hyperlink" Target="../../Misura%206.2/Misura%206_2%20Autonomie%20Locali/schede%20finali%20e%20progetti/Gioia%20del%20Colle%20%20OK/lettera%20richiesta%20integrazioni.doc" TargetMode="External" /><Relationship Id="rId6" Type="http://schemas.openxmlformats.org/officeDocument/2006/relationships/hyperlink" Target="../../Misura%206.2/Misura%206_2%20Autonomie%20Locali/schede%20finali%20e%20progetti/5_Si%20Gargano/lettera%20richiesta%20integrazioni.doc" TargetMode="External" /><Relationship Id="rId7" Type="http://schemas.openxmlformats.org/officeDocument/2006/relationships/hyperlink" Target="../../Misura%206.2/Misura%206_2%20Autonomie%20Locali/schede%20finali%20e%20progetti/6_Lucera/lettera%20richiesta%20integrazioni.doc" TargetMode="External" /><Relationship Id="rId8" Type="http://schemas.openxmlformats.org/officeDocument/2006/relationships/hyperlink" Target="../../Misura%206.2/Misura%206_2%20Autonomie%20Locali/schede%20finali%20e%20progetti/7_Carlantino/lettera%20richiesta%20integrazioni.doc" TargetMode="External" /><Relationship Id="rId9" Type="http://schemas.openxmlformats.org/officeDocument/2006/relationships/hyperlink" Target="mailto:a.esposito@comune.lecce.it" TargetMode="External" /><Relationship Id="rId10" Type="http://schemas.openxmlformats.org/officeDocument/2006/relationships/hyperlink" Target="../../Misura%206.2/Misura%206_2%20Autonomie%20Locali/schede%20finali%20e%20progetti/16_Lecce/lettera%20richiesta%20integrazioni.doc" TargetMode="External" /><Relationship Id="rId11" Type="http://schemas.openxmlformats.org/officeDocument/2006/relationships/hyperlink" Target="mailto:acaggiula@comune.maglie.le.it" TargetMode="External" /><Relationship Id="rId12" Type="http://schemas.openxmlformats.org/officeDocument/2006/relationships/hyperlink" Target="mailto:laporta@carlantino.montidauni.fg.it" TargetMode="External" /><Relationship Id="rId13" Type="http://schemas.openxmlformats.org/officeDocument/2006/relationships/hyperlink" Target="mailto:m.lauriola@comune.foggia.it" TargetMode="External" /><Relationship Id="rId14" Type="http://schemas.openxmlformats.org/officeDocument/2006/relationships/hyperlink" Target="mailto:attivit&#224;produttive@comune.casarano.le.it" TargetMode="External" /><Relationship Id="rId15" Type="http://schemas.openxmlformats.org/officeDocument/2006/relationships/hyperlink" Target="mailto:b.mastrorilli@comune.bari.it" TargetMode="External" /><Relationship Id="rId16" Type="http://schemas.openxmlformats.org/officeDocument/2006/relationships/hyperlink" Target="mailto:commercio@comune.modugno.ba.it" TargetMode="External" /><Relationship Id="rId17" Type="http://schemas.openxmlformats.org/officeDocument/2006/relationships/hyperlink" Target="mailto:direttoregenerale@comune.gallipoli.le.it" TargetMode="External" /><Relationship Id="rId18" Type="http://schemas.openxmlformats.org/officeDocument/2006/relationships/hyperlink" Target="mailto:gcantanna@libero.it" TargetMode="External" /><Relationship Id="rId19" Type="http://schemas.openxmlformats.org/officeDocument/2006/relationships/hyperlink" Target="mailto:r.debenedetto@comune.taranto.it" TargetMode="External" /><Relationship Id="rId20" Type="http://schemas.openxmlformats.org/officeDocument/2006/relationships/hyperlink" Target="mailto:p.m.manduria@libero.it" TargetMode="External" /><Relationship Id="rId21" Type="http://schemas.openxmlformats.org/officeDocument/2006/relationships/hyperlink" Target="mailto:dirigente.organizzazione@comune.barletta.ba.it" TargetMode="External" /><Relationship Id="rId22" Type="http://schemas.openxmlformats.org/officeDocument/2006/relationships/hyperlink" Target="mailto:segretario.gen@comune.noicattaro.bari.it" TargetMode="External" /><Relationship Id="rId23" Type="http://schemas.openxmlformats.org/officeDocument/2006/relationships/hyperlink" Target="mailto:dirgioia@tin.it" TargetMode="External" /><Relationship Id="rId24" Type="http://schemas.openxmlformats.org/officeDocument/2006/relationships/hyperlink" Target="mailto:prusstmf@libero.it" TargetMode="External" /><Relationship Id="rId25" Type="http://schemas.openxmlformats.org/officeDocument/2006/relationships/hyperlink" Target="mailto:sgambati.cmg@virgilio.it" TargetMode="External" /><Relationship Id="rId26" Type="http://schemas.openxmlformats.org/officeDocument/2006/relationships/hyperlink" Target="mailto:a.decosmo@provincia.foggia.it" TargetMode="External" /><Relationship Id="rId27" Type="http://schemas.openxmlformats.org/officeDocument/2006/relationships/hyperlink" Target="mailto:lucera5@interfree.it" TargetMode="External" /><Relationship Id="rId28" Type="http://schemas.openxmlformats.org/officeDocument/2006/relationships/hyperlink" Target="mailto:pit@comune.foggia.it" TargetMode="External" /><Relationship Id="rId29" Type="http://schemas.openxmlformats.org/officeDocument/2006/relationships/hyperlink" Target="mailto:f.ficarella@comune.bari.it" TargetMode="External" /><Relationship Id="rId30" Type="http://schemas.openxmlformats.org/officeDocument/2006/relationships/hyperlink" Target="mailto:prusstmf@libero.it" TargetMode="External" /><Relationship Id="rId31" Type="http://schemas.openxmlformats.org/officeDocument/2006/relationships/hyperlink" Target="mailto:attivitaproduttive@comune.casarano.le.it" TargetMode="External" /><Relationship Id="rId32" Type="http://schemas.openxmlformats.org/officeDocument/2006/relationships/hyperlink" Target="mailto:pit6@provincia.ta.it" TargetMode="External" /><Relationship Id="rId33" Type="http://schemas.openxmlformats.org/officeDocument/2006/relationships/hyperlink" Target="mailto:pit4@comune.santeramo.ba.it" TargetMode="External" /><Relationship Id="rId34" Type="http://schemas.openxmlformats.org/officeDocument/2006/relationships/hyperlink" Target="mailto:m.caringella@pit2.it" TargetMode="External" /><Relationship Id="rId35" Type="http://schemas.openxmlformats.org/officeDocument/2006/relationships/hyperlink" Target="mailto:giovanni.antelmi@provincia.brindisi.it" TargetMode="External" /><Relationship Id="rId36" Type="http://schemas.openxmlformats.org/officeDocument/2006/relationships/hyperlink" Target="mailto:comunitamontana.bovino.fg@isnet,it" TargetMode="External" /><Relationship Id="rId37" Type="http://schemas.openxmlformats.org/officeDocument/2006/relationships/hyperlink" Target="mailto:urp@comune.brindisi.it" TargetMode="External" /><Relationship Id="rId38" Type="http://schemas.openxmlformats.org/officeDocument/2006/relationships/hyperlink" Target="mailto:m.caringella@pit2.it" TargetMode="External" /><Relationship Id="rId39" Type="http://schemas.openxmlformats.org/officeDocument/2006/relationships/hyperlink" Target="mailto:a.decosmo@provincia.foggia.it" TargetMode="External" /><Relationship Id="rId40" Type="http://schemas.openxmlformats.org/officeDocument/2006/relationships/hyperlink" Target="mailto:frigiola@comune.laterza.ta.it" TargetMode="External" /><Relationship Id="rId41" Type="http://schemas.openxmlformats.org/officeDocument/2006/relationships/hyperlink" Target="mailto:pit@comune.foggia.it" TargetMode="External" /><Relationship Id="rId42" Type="http://schemas.openxmlformats.org/officeDocument/2006/relationships/hyperlink" Target="mailto:ufficiounicopit8@libero.it" TargetMode="External" /><Relationship Id="rId43" Type="http://schemas.openxmlformats.org/officeDocument/2006/relationships/hyperlink" Target="mailto:f.ficarella@comune.bari.it" TargetMode="External" /><Relationship Id="rId44" Type="http://schemas.openxmlformats.org/officeDocument/2006/relationships/hyperlink" Target="mailto:attivitaproduttive@comune.casarano.le.it" TargetMode="External" /><Relationship Id="rId45" Type="http://schemas.openxmlformats.org/officeDocument/2006/relationships/hyperlink" Target="mailto:ufficiounicopit8@libero.it" TargetMode="External" /><Relationship Id="rId46" Type="http://schemas.openxmlformats.org/officeDocument/2006/relationships/hyperlink" Target="mailto:pit4@comune.santeramo.ba.it" TargetMode="External" /><Relationship Id="rId47" Type="http://schemas.openxmlformats.org/officeDocument/2006/relationships/hyperlink" Target="http://www.sudestbarese.it/" TargetMode="External" /><Relationship Id="rId48" Type="http://schemas.openxmlformats.org/officeDocument/2006/relationships/hyperlink" Target="http://www.murgianet.net/" TargetMode="External" /><Relationship Id="rId49" Type="http://schemas.openxmlformats.org/officeDocument/2006/relationships/hyperlink" Target="http://www.memoriaeconoscenza.it/" TargetMode="External" /><Relationship Id="rId50" Type="http://schemas.openxmlformats.org/officeDocument/2006/relationships/hyperlink" Target="http://www.comune.alberobello.ba.it/" TargetMode="External" /><Relationship Id="rId51" Type="http://schemas.openxmlformats.org/officeDocument/2006/relationships/hyperlink" Target="http://www.contest.taranto.it/" TargetMode="External" /><Relationship Id="rId52" Type="http://schemas.openxmlformats.org/officeDocument/2006/relationships/hyperlink" Target="http://www.foggiafaro.it/" TargetMode="External" /><Relationship Id="rId53" Type="http://schemas.openxmlformats.org/officeDocument/2006/relationships/hyperlink" Target="http://www.maglie.cchnet.it/" TargetMode="External" /><Relationship Id="rId54" Type="http://schemas.openxmlformats.org/officeDocument/2006/relationships/hyperlink" Target="http://www.japigia.com/" TargetMode="External" /><Relationship Id="rId55" Type="http://schemas.openxmlformats.org/officeDocument/2006/relationships/hyperlink" Target="http://www.salgo.areasistema.it/" TargetMode="External" /><Relationship Id="rId56" Type="http://schemas.openxmlformats.org/officeDocument/2006/relationships/hyperlink" Target="http://www.tosalento.com/" TargetMode="External" /><Relationship Id="rId57" Type="http://schemas.openxmlformats.org/officeDocument/2006/relationships/hyperlink" Target="http://www.ptipuglia.it/" TargetMode="External" /><Relationship Id="rId58" Type="http://schemas.openxmlformats.org/officeDocument/2006/relationships/hyperlink" Target="http://www.pit-tavoliere.it/" TargetMode="External" /><Relationship Id="rId59" Type="http://schemas.openxmlformats.org/officeDocument/2006/relationships/hyperlink" Target="http://www.pit2.it/" TargetMode="External" /><Relationship Id="rId60" Type="http://schemas.openxmlformats.org/officeDocument/2006/relationships/hyperlink" Target="schede%20finali%20e%20progetti/14_Gallipoli/riferimenti%20commissione%20Gallipoli.xls" TargetMode="External" /><Relationship Id="rId61" Type="http://schemas.openxmlformats.org/officeDocument/2006/relationships/hyperlink" Target="schede%20finali%20e%20progetti/16_Lecce/riferimenti%20commissione%20Lecce.xls" TargetMode="External" /><Relationship Id="rId62" Type="http://schemas.openxmlformats.org/officeDocument/2006/relationships/hyperlink" Target="schede%20finali%20e%20progetti\16_Lecce\16_verbale_collaudo.doc" TargetMode="External" /><Relationship Id="rId63" Type="http://schemas.openxmlformats.org/officeDocument/2006/relationships/hyperlink" Target="schede%20finali%20e%20progetti/18_Fasano/riferimenti%20commissione%20Fasano.xls" TargetMode="External" /><Relationship Id="rId64" Type="http://schemas.openxmlformats.org/officeDocument/2006/relationships/hyperlink" Target="../PIS/Pis_11/PIS%2011%20-%20Polo%20Lecce%20-%20S.Seve/verbale_collaudo_PIS11_Lecce.doc" TargetMode="External" /><Relationship Id="rId65" Type="http://schemas.openxmlformats.org/officeDocument/2006/relationships/hyperlink" Target="..\PIS\Pis_11\riferimenti%20commissione%20PIS11%20Martina.xls" TargetMode="External" /><Relationship Id="rId66" Type="http://schemas.openxmlformats.org/officeDocument/2006/relationships/hyperlink" Target="http://www.dauniavalley.it/"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J131"/>
  <sheetViews>
    <sheetView tabSelected="1" zoomScaleSheetLayoutView="75" zoomScalePageLayoutView="0" workbookViewId="0" topLeftCell="A1">
      <pane xSplit="6" ySplit="2" topLeftCell="FN3" activePane="bottomRight" state="frozen"/>
      <selection pane="topLeft" activeCell="A1" sqref="A1"/>
      <selection pane="topRight" activeCell="F1" sqref="F1"/>
      <selection pane="bottomLeft" activeCell="A2" sqref="A2"/>
      <selection pane="bottomRight" activeCell="FR13" sqref="FR13"/>
    </sheetView>
  </sheetViews>
  <sheetFormatPr defaultColWidth="9.140625" defaultRowHeight="12.75"/>
  <cols>
    <col min="1" max="1" width="4.8515625" style="595" customWidth="1"/>
    <col min="2" max="2" width="3.140625" style="255" customWidth="1"/>
    <col min="3" max="3" width="3.00390625" style="240" customWidth="1"/>
    <col min="4" max="4" width="3.421875" style="240" customWidth="1"/>
    <col min="5" max="5" width="16.00390625" style="255" customWidth="1"/>
    <col min="6" max="6" width="13.57421875" style="255" customWidth="1"/>
    <col min="7" max="7" width="10.421875" style="255" customWidth="1"/>
    <col min="8" max="8" width="12.7109375" style="329" customWidth="1"/>
    <col min="9" max="9" width="4.421875" style="240" customWidth="1"/>
    <col min="10" max="10" width="4.00390625" style="240" customWidth="1"/>
    <col min="11" max="11" width="11.57421875" style="240" customWidth="1"/>
    <col min="12" max="12" width="12.28125" style="240" bestFit="1" customWidth="1"/>
    <col min="13" max="18" width="12.7109375" style="240" customWidth="1"/>
    <col min="19" max="19" width="11.140625" style="240" customWidth="1"/>
    <col min="20" max="20" width="12.28125" style="240" bestFit="1" customWidth="1"/>
    <col min="21" max="21" width="12.7109375" style="240" customWidth="1"/>
    <col min="22" max="22" width="12.57421875" style="240" customWidth="1"/>
    <col min="23" max="23" width="13.8515625" style="243" customWidth="1"/>
    <col min="24" max="24" width="12.57421875" style="240" customWidth="1"/>
    <col min="25" max="25" width="14.8515625" style="240" bestFit="1" customWidth="1"/>
    <col min="26" max="26" width="11.57421875" style="240" customWidth="1"/>
    <col min="27" max="27" width="12.00390625" style="240" customWidth="1"/>
    <col min="28" max="29" width="12.28125" style="240" bestFit="1" customWidth="1"/>
    <col min="30" max="30" width="12.8515625" style="240" customWidth="1"/>
    <col min="31" max="31" width="9.00390625" style="240" customWidth="1"/>
    <col min="32" max="32" width="12.140625" style="244" customWidth="1"/>
    <col min="33" max="33" width="12.140625" style="240" customWidth="1"/>
    <col min="34" max="34" width="10.7109375" style="245" customWidth="1"/>
    <col min="35" max="35" width="8.8515625" style="246" customWidth="1"/>
    <col min="36" max="36" width="11.57421875" style="244" customWidth="1"/>
    <col min="37" max="37" width="6.8515625" style="246" customWidth="1"/>
    <col min="38" max="38" width="10.421875" style="245" hidden="1" customWidth="1"/>
    <col min="39" max="39" width="0" style="240" hidden="1" customWidth="1"/>
    <col min="40" max="40" width="9.140625" style="240" customWidth="1"/>
    <col min="41" max="41" width="4.28125" style="240" customWidth="1"/>
    <col min="42" max="42" width="12.28125" style="240" customWidth="1"/>
    <col min="43" max="43" width="5.00390625" style="240" customWidth="1"/>
    <col min="44" max="44" width="6.7109375" style="240" customWidth="1"/>
    <col min="45" max="45" width="11.7109375" style="240" customWidth="1"/>
    <col min="46" max="48" width="11.421875" style="240" customWidth="1"/>
    <col min="49" max="49" width="11.8515625" style="246" customWidth="1"/>
    <col min="50" max="50" width="12.140625" style="246" customWidth="1"/>
    <col min="51" max="52" width="14.8515625" style="250" customWidth="1"/>
    <col min="53" max="54" width="14.8515625" style="246" customWidth="1"/>
    <col min="55" max="55" width="6.140625" style="444" customWidth="1"/>
    <col min="56" max="56" width="12.140625" style="444" customWidth="1"/>
    <col min="57" max="57" width="10.7109375" style="240" customWidth="1"/>
    <col min="58" max="58" width="10.00390625" style="278" customWidth="1"/>
    <col min="59" max="59" width="10.421875" style="278" customWidth="1"/>
    <col min="60" max="60" width="14.57421875" style="243" hidden="1" customWidth="1"/>
    <col min="61" max="61" width="2.8515625" style="255" hidden="1" customWidth="1"/>
    <col min="62" max="63" width="3.421875" style="255" customWidth="1"/>
    <col min="64" max="64" width="9.57421875" style="255" customWidth="1"/>
    <col min="65" max="65" width="9.8515625" style="255" bestFit="1" customWidth="1"/>
    <col min="66" max="66" width="9.57421875" style="272" customWidth="1"/>
    <col min="67" max="67" width="3.7109375" style="272" customWidth="1"/>
    <col min="68" max="68" width="9.8515625" style="272" bestFit="1" customWidth="1"/>
    <col min="69" max="69" width="12.28125" style="258" bestFit="1" customWidth="1"/>
    <col min="70" max="71" width="11.28125" style="258" bestFit="1" customWidth="1"/>
    <col min="72" max="72" width="5.8515625" style="255" customWidth="1"/>
    <col min="73" max="73" width="11.00390625" style="255" customWidth="1"/>
    <col min="74" max="74" width="6.8515625" style="255" customWidth="1"/>
    <col min="75" max="75" width="6.140625" style="255" customWidth="1"/>
    <col min="76" max="76" width="7.28125" style="255" customWidth="1"/>
    <col min="77" max="77" width="10.7109375" style="255" customWidth="1"/>
    <col min="78" max="78" width="10.140625" style="255" bestFit="1" customWidth="1"/>
    <col min="79" max="79" width="12.7109375" style="255" customWidth="1"/>
    <col min="80" max="80" width="11.28125" style="255" bestFit="1" customWidth="1"/>
    <col min="81" max="81" width="9.8515625" style="265" bestFit="1" customWidth="1"/>
    <col min="82" max="84" width="11.28125" style="258" customWidth="1"/>
    <col min="85" max="85" width="5.421875" style="240" customWidth="1"/>
    <col min="86" max="86" width="11.28125" style="256" customWidth="1"/>
    <col min="87" max="87" width="11.28125" style="255" customWidth="1"/>
    <col min="88" max="88" width="9.8515625" style="255" bestFit="1" customWidth="1"/>
    <col min="89" max="89" width="11.28125" style="255" customWidth="1"/>
    <col min="90" max="90" width="11.28125" style="258" customWidth="1"/>
    <col min="91" max="91" width="11.28125" style="255" customWidth="1"/>
    <col min="92" max="92" width="11.28125" style="258" customWidth="1"/>
    <col min="93" max="94" width="11.28125" style="255" customWidth="1"/>
    <col min="95" max="95" width="5.421875" style="255" customWidth="1"/>
    <col min="96" max="104" width="11.28125" style="255" customWidth="1"/>
    <col min="105" max="105" width="6.28125" style="255" customWidth="1"/>
    <col min="106" max="134" width="11.28125" style="255" customWidth="1"/>
    <col min="135" max="135" width="7.140625" style="255" customWidth="1"/>
    <col min="136" max="137" width="11.28125" style="255" customWidth="1"/>
    <col min="138" max="138" width="10.421875" style="255" customWidth="1"/>
    <col min="139" max="140" width="11.28125" style="255" customWidth="1"/>
    <col min="141" max="141" width="10.00390625" style="255" customWidth="1"/>
    <col min="142" max="159" width="11.28125" style="255" customWidth="1"/>
    <col min="160" max="160" width="13.140625" style="267" bestFit="1" customWidth="1"/>
    <col min="161" max="162" width="12.28125" style="267" bestFit="1" customWidth="1"/>
    <col min="163" max="164" width="12.28125" style="255" bestFit="1" customWidth="1"/>
    <col min="165" max="165" width="13.140625" style="255" customWidth="1"/>
    <col min="166" max="166" width="11.28125" style="420" bestFit="1" customWidth="1"/>
    <col min="167" max="169" width="12.28125" style="255" bestFit="1" customWidth="1"/>
    <col min="170" max="170" width="9.57421875" style="255" customWidth="1"/>
    <col min="171" max="171" width="12.28125" style="255" bestFit="1" customWidth="1"/>
    <col min="172" max="172" width="11.8515625" style="255" bestFit="1" customWidth="1"/>
    <col min="173" max="173" width="12.00390625" style="255" bestFit="1" customWidth="1"/>
    <col min="174" max="174" width="11.8515625" style="258" bestFit="1" customWidth="1"/>
    <col min="175" max="175" width="13.57421875" style="255" customWidth="1"/>
    <col min="176" max="176" width="13.57421875" style="255" bestFit="1" customWidth="1"/>
    <col min="177" max="177" width="14.8515625" style="255" customWidth="1"/>
    <col min="178" max="178" width="13.57421875" style="255" bestFit="1" customWidth="1"/>
    <col min="179" max="179" width="9.8515625" style="255" bestFit="1" customWidth="1"/>
    <col min="180" max="180" width="9.140625" style="255" customWidth="1"/>
    <col min="181" max="181" width="11.28125" style="255" bestFit="1" customWidth="1"/>
    <col min="182" max="182" width="10.57421875" style="255" customWidth="1"/>
    <col min="183" max="183" width="10.421875" style="255" bestFit="1" customWidth="1"/>
    <col min="184" max="187" width="9.28125" style="255" bestFit="1" customWidth="1"/>
    <col min="188" max="188" width="9.140625" style="255" customWidth="1"/>
    <col min="189" max="189" width="9.8515625" style="255" bestFit="1" customWidth="1"/>
    <col min="190" max="190" width="11.57421875" style="255" bestFit="1" customWidth="1"/>
    <col min="191" max="192" width="9.8515625" style="255" bestFit="1" customWidth="1"/>
    <col min="193" max="16384" width="9.140625" style="255" customWidth="1"/>
  </cols>
  <sheetData>
    <row r="1" spans="2:159" ht="12.75" customHeight="1">
      <c r="B1" s="255">
        <v>1</v>
      </c>
      <c r="C1" s="240">
        <v>2</v>
      </c>
      <c r="D1" s="240">
        <v>3</v>
      </c>
      <c r="E1" s="255">
        <v>4</v>
      </c>
      <c r="F1" s="255">
        <v>5</v>
      </c>
      <c r="G1" s="255">
        <v>6</v>
      </c>
      <c r="H1" s="329">
        <v>7</v>
      </c>
      <c r="I1" s="240">
        <v>8</v>
      </c>
      <c r="J1" s="240">
        <v>9</v>
      </c>
      <c r="K1" s="240">
        <v>10</v>
      </c>
      <c r="L1" s="240">
        <v>11</v>
      </c>
      <c r="M1" s="240">
        <v>12</v>
      </c>
      <c r="N1" s="240">
        <v>13</v>
      </c>
      <c r="O1" s="240">
        <v>14</v>
      </c>
      <c r="P1" s="240">
        <v>15</v>
      </c>
      <c r="Q1" s="240">
        <v>16</v>
      </c>
      <c r="R1" s="240">
        <v>17</v>
      </c>
      <c r="S1" s="240">
        <f>+R1+1</f>
        <v>18</v>
      </c>
      <c r="T1" s="240">
        <f aca="true" t="shared" si="0" ref="T1:CA1">+S1+1</f>
        <v>19</v>
      </c>
      <c r="U1" s="240">
        <f t="shared" si="0"/>
        <v>20</v>
      </c>
      <c r="V1" s="240">
        <f t="shared" si="0"/>
        <v>21</v>
      </c>
      <c r="W1" s="240">
        <f t="shared" si="0"/>
        <v>22</v>
      </c>
      <c r="X1" s="240">
        <f t="shared" si="0"/>
        <v>23</v>
      </c>
      <c r="Y1" s="240">
        <f t="shared" si="0"/>
        <v>24</v>
      </c>
      <c r="Z1" s="240">
        <f t="shared" si="0"/>
        <v>25</v>
      </c>
      <c r="AA1" s="240">
        <f t="shared" si="0"/>
        <v>26</v>
      </c>
      <c r="AB1" s="240">
        <f t="shared" si="0"/>
        <v>27</v>
      </c>
      <c r="AC1" s="240">
        <f t="shared" si="0"/>
        <v>28</v>
      </c>
      <c r="AD1" s="240">
        <f t="shared" si="0"/>
        <v>29</v>
      </c>
      <c r="AE1" s="240">
        <f t="shared" si="0"/>
        <v>30</v>
      </c>
      <c r="AF1" s="240">
        <f t="shared" si="0"/>
        <v>31</v>
      </c>
      <c r="AG1" s="240">
        <f t="shared" si="0"/>
        <v>32</v>
      </c>
      <c r="AH1" s="240">
        <f t="shared" si="0"/>
        <v>33</v>
      </c>
      <c r="AI1" s="240">
        <f t="shared" si="0"/>
        <v>34</v>
      </c>
      <c r="AJ1" s="240">
        <f t="shared" si="0"/>
        <v>35</v>
      </c>
      <c r="AK1" s="240">
        <f t="shared" si="0"/>
        <v>36</v>
      </c>
      <c r="AL1" s="240">
        <f t="shared" si="0"/>
        <v>37</v>
      </c>
      <c r="AM1" s="240">
        <f t="shared" si="0"/>
        <v>38</v>
      </c>
      <c r="AN1" s="240">
        <f t="shared" si="0"/>
        <v>39</v>
      </c>
      <c r="AO1" s="240">
        <f t="shared" si="0"/>
        <v>40</v>
      </c>
      <c r="AP1" s="240">
        <f t="shared" si="0"/>
        <v>41</v>
      </c>
      <c r="AQ1" s="240">
        <f t="shared" si="0"/>
        <v>42</v>
      </c>
      <c r="AR1" s="240">
        <f t="shared" si="0"/>
        <v>43</v>
      </c>
      <c r="AS1" s="240">
        <f t="shared" si="0"/>
        <v>44</v>
      </c>
      <c r="AT1" s="240">
        <f t="shared" si="0"/>
        <v>45</v>
      </c>
      <c r="AU1" s="240">
        <f t="shared" si="0"/>
        <v>46</v>
      </c>
      <c r="AV1" s="240">
        <f t="shared" si="0"/>
        <v>47</v>
      </c>
      <c r="AW1" s="240">
        <f t="shared" si="0"/>
        <v>48</v>
      </c>
      <c r="AX1" s="240">
        <f t="shared" si="0"/>
        <v>49</v>
      </c>
      <c r="AY1" s="240">
        <f t="shared" si="0"/>
        <v>50</v>
      </c>
      <c r="AZ1" s="240">
        <f t="shared" si="0"/>
        <v>51</v>
      </c>
      <c r="BA1" s="240">
        <f t="shared" si="0"/>
        <v>52</v>
      </c>
      <c r="BB1" s="240">
        <f t="shared" si="0"/>
        <v>53</v>
      </c>
      <c r="BC1" s="300">
        <f t="shared" si="0"/>
        <v>54</v>
      </c>
      <c r="BD1" s="300">
        <f t="shared" si="0"/>
        <v>55</v>
      </c>
      <c r="BE1" s="240">
        <f t="shared" si="0"/>
        <v>56</v>
      </c>
      <c r="BF1" s="240">
        <f t="shared" si="0"/>
        <v>57</v>
      </c>
      <c r="BG1" s="240">
        <f t="shared" si="0"/>
        <v>58</v>
      </c>
      <c r="BH1" s="240">
        <f t="shared" si="0"/>
        <v>59</v>
      </c>
      <c r="BI1" s="240">
        <f t="shared" si="0"/>
        <v>60</v>
      </c>
      <c r="BJ1" s="240">
        <f t="shared" si="0"/>
        <v>61</v>
      </c>
      <c r="BK1" s="240">
        <f t="shared" si="0"/>
        <v>62</v>
      </c>
      <c r="BL1" s="240">
        <f t="shared" si="0"/>
        <v>63</v>
      </c>
      <c r="BM1" s="240">
        <f t="shared" si="0"/>
        <v>64</v>
      </c>
      <c r="BN1" s="240">
        <f t="shared" si="0"/>
        <v>65</v>
      </c>
      <c r="BO1" s="240">
        <f t="shared" si="0"/>
        <v>66</v>
      </c>
      <c r="BP1" s="240">
        <f t="shared" si="0"/>
        <v>67</v>
      </c>
      <c r="BQ1" s="240">
        <f t="shared" si="0"/>
        <v>68</v>
      </c>
      <c r="BR1" s="240">
        <f t="shared" si="0"/>
        <v>69</v>
      </c>
      <c r="BS1" s="240">
        <f t="shared" si="0"/>
        <v>70</v>
      </c>
      <c r="BT1" s="240">
        <f t="shared" si="0"/>
        <v>71</v>
      </c>
      <c r="BU1" s="240">
        <f t="shared" si="0"/>
        <v>72</v>
      </c>
      <c r="BV1" s="240">
        <f t="shared" si="0"/>
        <v>73</v>
      </c>
      <c r="BW1" s="240">
        <f t="shared" si="0"/>
        <v>74</v>
      </c>
      <c r="BX1" s="240">
        <f t="shared" si="0"/>
        <v>75</v>
      </c>
      <c r="BY1" s="240">
        <f t="shared" si="0"/>
        <v>76</v>
      </c>
      <c r="BZ1" s="240">
        <f t="shared" si="0"/>
        <v>77</v>
      </c>
      <c r="CA1" s="240">
        <f t="shared" si="0"/>
        <v>78</v>
      </c>
      <c r="CB1" s="615" t="s">
        <v>1349</v>
      </c>
      <c r="CC1" s="615"/>
      <c r="CD1" s="615"/>
      <c r="CE1" s="615"/>
      <c r="CF1" s="615"/>
      <c r="CG1" s="615"/>
      <c r="CH1" s="615"/>
      <c r="CI1" s="615"/>
      <c r="CJ1" s="615"/>
      <c r="CK1" s="615"/>
      <c r="CL1" s="617" t="s">
        <v>1350</v>
      </c>
      <c r="CM1" s="617"/>
      <c r="CN1" s="617"/>
      <c r="CO1" s="617"/>
      <c r="CP1" s="617"/>
      <c r="CQ1" s="617"/>
      <c r="CR1" s="617"/>
      <c r="CS1" s="617"/>
      <c r="CT1" s="617"/>
      <c r="CU1" s="617"/>
      <c r="CV1" s="618" t="s">
        <v>1351</v>
      </c>
      <c r="CW1" s="618"/>
      <c r="CX1" s="618"/>
      <c r="CY1" s="618"/>
      <c r="CZ1" s="618"/>
      <c r="DA1" s="618"/>
      <c r="DB1" s="618"/>
      <c r="DC1" s="618"/>
      <c r="DD1" s="618"/>
      <c r="DE1" s="618"/>
      <c r="DF1" s="619" t="s">
        <v>1352</v>
      </c>
      <c r="DG1" s="619"/>
      <c r="DH1" s="619"/>
      <c r="DI1" s="619"/>
      <c r="DJ1" s="619"/>
      <c r="DK1" s="619"/>
      <c r="DL1" s="619"/>
      <c r="DM1" s="619"/>
      <c r="DN1" s="619"/>
      <c r="DO1" s="619"/>
      <c r="DP1" s="616" t="s">
        <v>1353</v>
      </c>
      <c r="DQ1" s="616"/>
      <c r="DR1" s="616"/>
      <c r="DS1" s="616"/>
      <c r="DT1" s="616"/>
      <c r="DU1" s="616"/>
      <c r="DV1" s="616"/>
      <c r="DW1" s="616"/>
      <c r="DX1" s="616"/>
      <c r="DY1" s="616"/>
      <c r="DZ1" s="615" t="s">
        <v>300</v>
      </c>
      <c r="EA1" s="615"/>
      <c r="EB1" s="615"/>
      <c r="EC1" s="615"/>
      <c r="ED1" s="615"/>
      <c r="EE1" s="615"/>
      <c r="EF1" s="615"/>
      <c r="EG1" s="615"/>
      <c r="EH1" s="615"/>
      <c r="EI1" s="615"/>
      <c r="EJ1" s="637" t="s">
        <v>602</v>
      </c>
      <c r="EK1" s="637"/>
      <c r="EL1" s="637"/>
      <c r="EM1" s="637"/>
      <c r="EN1" s="637"/>
      <c r="EO1" s="637"/>
      <c r="EP1" s="637"/>
      <c r="EQ1" s="637"/>
      <c r="ER1" s="637"/>
      <c r="ES1" s="637"/>
      <c r="ET1" s="636" t="s">
        <v>1104</v>
      </c>
      <c r="EU1" s="636"/>
      <c r="EV1" s="636"/>
      <c r="EW1" s="636"/>
      <c r="EX1" s="636"/>
      <c r="EY1" s="636"/>
      <c r="EZ1" s="636"/>
      <c r="FA1" s="636"/>
      <c r="FB1" s="636"/>
      <c r="FC1" s="636"/>
    </row>
    <row r="2" spans="1:191" s="79" customFormat="1" ht="89.25" customHeight="1">
      <c r="A2" s="596" t="s">
        <v>176</v>
      </c>
      <c r="B2" s="79" t="s">
        <v>1269</v>
      </c>
      <c r="C2" s="79" t="s">
        <v>292</v>
      </c>
      <c r="D2" s="79" t="s">
        <v>293</v>
      </c>
      <c r="E2" s="79" t="s">
        <v>1261</v>
      </c>
      <c r="F2" s="79" t="s">
        <v>1260</v>
      </c>
      <c r="G2" s="79" t="s">
        <v>1259</v>
      </c>
      <c r="H2" s="80" t="s">
        <v>1262</v>
      </c>
      <c r="I2" s="80" t="s">
        <v>1263</v>
      </c>
      <c r="J2" s="80" t="s">
        <v>1264</v>
      </c>
      <c r="K2" s="80" t="s">
        <v>1280</v>
      </c>
      <c r="L2" s="80" t="s">
        <v>91</v>
      </c>
      <c r="M2" s="80" t="s">
        <v>1294</v>
      </c>
      <c r="N2" s="402" t="s">
        <v>686</v>
      </c>
      <c r="O2" s="402" t="s">
        <v>1147</v>
      </c>
      <c r="P2" s="402" t="s">
        <v>1134</v>
      </c>
      <c r="Q2" s="402" t="s">
        <v>1148</v>
      </c>
      <c r="R2" s="402" t="s">
        <v>1149</v>
      </c>
      <c r="S2" s="402" t="s">
        <v>1145</v>
      </c>
      <c r="T2" s="403" t="s">
        <v>1081</v>
      </c>
      <c r="U2" s="371" t="s">
        <v>1043</v>
      </c>
      <c r="V2" s="80" t="s">
        <v>1282</v>
      </c>
      <c r="W2" s="80" t="s">
        <v>1253</v>
      </c>
      <c r="X2" s="80" t="s">
        <v>1254</v>
      </c>
      <c r="Y2" s="394" t="s">
        <v>1250</v>
      </c>
      <c r="Z2" s="80" t="s">
        <v>1258</v>
      </c>
      <c r="AA2" s="80" t="s">
        <v>8</v>
      </c>
      <c r="AB2" s="80" t="s">
        <v>9</v>
      </c>
      <c r="AC2" s="81" t="s">
        <v>7</v>
      </c>
      <c r="AD2" s="81" t="s">
        <v>1281</v>
      </c>
      <c r="AE2" s="81" t="s">
        <v>1305</v>
      </c>
      <c r="AF2" s="82" t="s">
        <v>1283</v>
      </c>
      <c r="AG2" s="81" t="s">
        <v>1284</v>
      </c>
      <c r="AH2" s="83" t="s">
        <v>1265</v>
      </c>
      <c r="AI2" s="84" t="s">
        <v>1266</v>
      </c>
      <c r="AJ2" s="82" t="s">
        <v>1291</v>
      </c>
      <c r="AK2" s="84" t="s">
        <v>1292</v>
      </c>
      <c r="AL2" s="83" t="s">
        <v>1267</v>
      </c>
      <c r="AM2" s="79" t="s">
        <v>1268</v>
      </c>
      <c r="AN2" s="79" t="s">
        <v>1270</v>
      </c>
      <c r="AO2" s="79" t="s">
        <v>1274</v>
      </c>
      <c r="AP2" s="79" t="s">
        <v>1271</v>
      </c>
      <c r="AQ2" s="79" t="s">
        <v>1272</v>
      </c>
      <c r="AR2" s="79" t="s">
        <v>1273</v>
      </c>
      <c r="AS2" s="79" t="s">
        <v>12</v>
      </c>
      <c r="AT2" s="79" t="s">
        <v>13</v>
      </c>
      <c r="AU2" s="79" t="s">
        <v>29</v>
      </c>
      <c r="AV2" s="79" t="s">
        <v>31</v>
      </c>
      <c r="AW2" s="84" t="s">
        <v>1278</v>
      </c>
      <c r="AX2" s="84" t="s">
        <v>1277</v>
      </c>
      <c r="AY2" s="85" t="s">
        <v>112</v>
      </c>
      <c r="AZ2" s="85" t="s">
        <v>113</v>
      </c>
      <c r="BA2" s="85" t="s">
        <v>114</v>
      </c>
      <c r="BB2" s="85" t="s">
        <v>773</v>
      </c>
      <c r="BC2" s="435" t="s">
        <v>0</v>
      </c>
      <c r="BD2" s="435" t="s">
        <v>1295</v>
      </c>
      <c r="BE2" s="79" t="s">
        <v>1299</v>
      </c>
      <c r="BF2" s="87" t="s">
        <v>1297</v>
      </c>
      <c r="BG2" s="87" t="s">
        <v>1298</v>
      </c>
      <c r="BH2" s="81">
        <v>25500000</v>
      </c>
      <c r="BI2" s="79" t="s">
        <v>1303</v>
      </c>
      <c r="BJ2" s="79" t="s">
        <v>641</v>
      </c>
      <c r="BK2" s="79" t="s">
        <v>1397</v>
      </c>
      <c r="BL2" s="79" t="s">
        <v>1396</v>
      </c>
      <c r="BM2" s="79" t="s">
        <v>1406</v>
      </c>
      <c r="BN2" s="370" t="s">
        <v>1</v>
      </c>
      <c r="BO2" s="370" t="s">
        <v>426</v>
      </c>
      <c r="BP2" s="370" t="s">
        <v>655</v>
      </c>
      <c r="BQ2" s="81" t="s">
        <v>1403</v>
      </c>
      <c r="BR2" s="81" t="s">
        <v>1404</v>
      </c>
      <c r="BS2" s="81" t="s">
        <v>1405</v>
      </c>
      <c r="BT2" s="88" t="s">
        <v>2</v>
      </c>
      <c r="BU2" s="88" t="s">
        <v>1295</v>
      </c>
      <c r="BV2" s="89" t="s">
        <v>1297</v>
      </c>
      <c r="BW2" s="89" t="s">
        <v>1298</v>
      </c>
      <c r="BX2" s="90" t="s">
        <v>92</v>
      </c>
      <c r="BY2" s="91" t="s">
        <v>93</v>
      </c>
      <c r="BZ2" s="92" t="s">
        <v>94</v>
      </c>
      <c r="CA2" s="93" t="s">
        <v>95</v>
      </c>
      <c r="CB2" s="93" t="s">
        <v>500</v>
      </c>
      <c r="CC2" s="94" t="s">
        <v>272</v>
      </c>
      <c r="CD2" s="81" t="s">
        <v>501</v>
      </c>
      <c r="CE2" s="81" t="s">
        <v>502</v>
      </c>
      <c r="CF2" s="81" t="s">
        <v>503</v>
      </c>
      <c r="CG2" s="88" t="s">
        <v>504</v>
      </c>
      <c r="CH2" s="93" t="s">
        <v>505</v>
      </c>
      <c r="CI2" s="90" t="s">
        <v>506</v>
      </c>
      <c r="CJ2" s="92" t="s">
        <v>507</v>
      </c>
      <c r="CK2" s="93" t="s">
        <v>508</v>
      </c>
      <c r="CL2" s="95" t="s">
        <v>268</v>
      </c>
      <c r="CM2" s="96" t="s">
        <v>272</v>
      </c>
      <c r="CN2" s="95" t="s">
        <v>269</v>
      </c>
      <c r="CO2" s="95" t="s">
        <v>210</v>
      </c>
      <c r="CP2" s="95" t="s">
        <v>211</v>
      </c>
      <c r="CQ2" s="97" t="s">
        <v>212</v>
      </c>
      <c r="CR2" s="98" t="s">
        <v>267</v>
      </c>
      <c r="CS2" s="99" t="s">
        <v>270</v>
      </c>
      <c r="CT2" s="100" t="s">
        <v>271</v>
      </c>
      <c r="CU2" s="98" t="s">
        <v>499</v>
      </c>
      <c r="CV2" s="101" t="s">
        <v>481</v>
      </c>
      <c r="CW2" s="102" t="s">
        <v>272</v>
      </c>
      <c r="CX2" s="101" t="s">
        <v>482</v>
      </c>
      <c r="CY2" s="101" t="s">
        <v>483</v>
      </c>
      <c r="CZ2" s="101" t="s">
        <v>484</v>
      </c>
      <c r="DA2" s="86" t="s">
        <v>485</v>
      </c>
      <c r="DB2" s="103" t="s">
        <v>486</v>
      </c>
      <c r="DC2" s="104" t="s">
        <v>487</v>
      </c>
      <c r="DD2" s="105" t="s">
        <v>488</v>
      </c>
      <c r="DE2" s="103" t="s">
        <v>489</v>
      </c>
      <c r="DF2" s="95" t="s">
        <v>691</v>
      </c>
      <c r="DG2" s="96" t="s">
        <v>272</v>
      </c>
      <c r="DH2" s="95" t="s">
        <v>692</v>
      </c>
      <c r="DI2" s="95" t="s">
        <v>693</v>
      </c>
      <c r="DJ2" s="95" t="s">
        <v>694</v>
      </c>
      <c r="DK2" s="97" t="s">
        <v>695</v>
      </c>
      <c r="DL2" s="98" t="s">
        <v>696</v>
      </c>
      <c r="DM2" s="99" t="s">
        <v>697</v>
      </c>
      <c r="DN2" s="100" t="s">
        <v>698</v>
      </c>
      <c r="DO2" s="98" t="s">
        <v>699</v>
      </c>
      <c r="DP2" s="95" t="s">
        <v>1045</v>
      </c>
      <c r="DQ2" s="96" t="s">
        <v>272</v>
      </c>
      <c r="DR2" s="95" t="s">
        <v>1046</v>
      </c>
      <c r="DS2" s="95" t="s">
        <v>1047</v>
      </c>
      <c r="DT2" s="95" t="s">
        <v>1048</v>
      </c>
      <c r="DU2" s="97" t="s">
        <v>1049</v>
      </c>
      <c r="DV2" s="98" t="s">
        <v>1050</v>
      </c>
      <c r="DW2" s="99" t="s">
        <v>1051</v>
      </c>
      <c r="DX2" s="100" t="s">
        <v>1052</v>
      </c>
      <c r="DY2" s="98" t="s">
        <v>1053</v>
      </c>
      <c r="DZ2" s="95" t="s">
        <v>334</v>
      </c>
      <c r="EA2" s="96" t="s">
        <v>272</v>
      </c>
      <c r="EB2" s="95" t="s">
        <v>333</v>
      </c>
      <c r="EC2" s="95" t="s">
        <v>332</v>
      </c>
      <c r="ED2" s="95" t="s">
        <v>335</v>
      </c>
      <c r="EE2" s="97" t="s">
        <v>336</v>
      </c>
      <c r="EF2" s="98" t="s">
        <v>337</v>
      </c>
      <c r="EG2" s="99" t="s">
        <v>338</v>
      </c>
      <c r="EH2" s="100" t="s">
        <v>339</v>
      </c>
      <c r="EI2" s="98" t="s">
        <v>340</v>
      </c>
      <c r="EJ2" s="95" t="s">
        <v>604</v>
      </c>
      <c r="EK2" s="96" t="s">
        <v>272</v>
      </c>
      <c r="EL2" s="95" t="s">
        <v>605</v>
      </c>
      <c r="EM2" s="95" t="s">
        <v>606</v>
      </c>
      <c r="EN2" s="95" t="s">
        <v>607</v>
      </c>
      <c r="EO2" s="97" t="s">
        <v>608</v>
      </c>
      <c r="EP2" s="98" t="s">
        <v>609</v>
      </c>
      <c r="EQ2" s="99" t="s">
        <v>610</v>
      </c>
      <c r="ER2" s="100" t="s">
        <v>611</v>
      </c>
      <c r="ES2" s="98" t="s">
        <v>603</v>
      </c>
      <c r="ET2" s="95" t="s">
        <v>1105</v>
      </c>
      <c r="EU2" s="96" t="s">
        <v>272</v>
      </c>
      <c r="EV2" s="95" t="s">
        <v>1106</v>
      </c>
      <c r="EW2" s="95" t="s">
        <v>1107</v>
      </c>
      <c r="EX2" s="95" t="s">
        <v>1108</v>
      </c>
      <c r="EY2" s="97" t="s">
        <v>1111</v>
      </c>
      <c r="EZ2" s="98" t="s">
        <v>1112</v>
      </c>
      <c r="FA2" s="99" t="s">
        <v>1113</v>
      </c>
      <c r="FB2" s="100" t="s">
        <v>1114</v>
      </c>
      <c r="FC2" s="98" t="s">
        <v>1115</v>
      </c>
      <c r="FD2" s="106" t="s">
        <v>1061</v>
      </c>
      <c r="FE2" s="106" t="s">
        <v>1062</v>
      </c>
      <c r="FF2" s="106" t="s">
        <v>465</v>
      </c>
      <c r="FG2" s="107" t="s">
        <v>757</v>
      </c>
      <c r="FH2" s="107" t="s">
        <v>758</v>
      </c>
      <c r="FI2" s="107" t="s">
        <v>759</v>
      </c>
      <c r="FJ2" s="107" t="s">
        <v>1079</v>
      </c>
      <c r="FK2" s="107" t="s">
        <v>760</v>
      </c>
      <c r="FL2" s="107" t="s">
        <v>761</v>
      </c>
      <c r="FM2" s="107" t="s">
        <v>762</v>
      </c>
      <c r="FN2" s="107" t="s">
        <v>1080</v>
      </c>
      <c r="FO2" s="107" t="s">
        <v>764</v>
      </c>
      <c r="FP2" s="107" t="s">
        <v>763</v>
      </c>
      <c r="FQ2" s="107" t="s">
        <v>766</v>
      </c>
      <c r="FR2" s="107" t="s">
        <v>416</v>
      </c>
      <c r="FS2" s="79" t="s">
        <v>587</v>
      </c>
      <c r="FT2" s="107" t="s">
        <v>993</v>
      </c>
      <c r="FU2" s="107" t="s">
        <v>538</v>
      </c>
      <c r="FV2" s="507" t="s">
        <v>995</v>
      </c>
      <c r="FW2" s="508" t="s">
        <v>824</v>
      </c>
      <c r="FX2" s="508" t="s">
        <v>825</v>
      </c>
      <c r="FY2" s="508" t="s">
        <v>576</v>
      </c>
      <c r="FZ2" s="508" t="s">
        <v>996</v>
      </c>
      <c r="GA2" s="79" t="s">
        <v>341</v>
      </c>
      <c r="GB2" s="79" t="s">
        <v>342</v>
      </c>
      <c r="GC2" s="79" t="s">
        <v>343</v>
      </c>
      <c r="GD2" s="79" t="s">
        <v>344</v>
      </c>
      <c r="GE2" s="79" t="s">
        <v>342</v>
      </c>
      <c r="GF2" s="79" t="s">
        <v>512</v>
      </c>
      <c r="GG2" s="79" t="s">
        <v>513</v>
      </c>
      <c r="GH2" s="79" t="s">
        <v>719</v>
      </c>
      <c r="GI2" s="79" t="s">
        <v>720</v>
      </c>
    </row>
    <row r="3" spans="1:176" s="127" customFormat="1" ht="12.75" customHeight="1">
      <c r="A3" s="603" t="s">
        <v>190</v>
      </c>
      <c r="B3" s="120">
        <v>1</v>
      </c>
      <c r="C3" s="120"/>
      <c r="D3" s="120">
        <v>1</v>
      </c>
      <c r="E3" s="121" t="s">
        <v>1167</v>
      </c>
      <c r="F3" s="121" t="s">
        <v>1188</v>
      </c>
      <c r="G3" s="121" t="s">
        <v>10</v>
      </c>
      <c r="H3" s="122">
        <v>200000</v>
      </c>
      <c r="I3" s="123" t="s">
        <v>1168</v>
      </c>
      <c r="J3" s="123" t="str">
        <f aca="true" t="shared" si="1" ref="J3:J20">IF(I3="si","è","non è")</f>
        <v>è</v>
      </c>
      <c r="K3" s="122">
        <v>0</v>
      </c>
      <c r="L3" s="122"/>
      <c r="M3" s="122">
        <f>+H3-K3</f>
        <v>200000</v>
      </c>
      <c r="N3" s="122">
        <f>+M3</f>
        <v>200000</v>
      </c>
      <c r="O3" s="122"/>
      <c r="P3" s="122"/>
      <c r="Q3" s="122"/>
      <c r="R3" s="122"/>
      <c r="S3" s="122"/>
      <c r="T3" s="404">
        <f>+Y3-P3</f>
        <v>160000</v>
      </c>
      <c r="U3" s="155">
        <f>+FH3</f>
        <v>199946</v>
      </c>
      <c r="V3" s="122">
        <f>+M3</f>
        <v>200000</v>
      </c>
      <c r="W3" s="122">
        <f>+V3*0.5</f>
        <v>100000</v>
      </c>
      <c r="X3" s="122">
        <f aca="true" t="shared" si="2" ref="X3:X20">IF(I3="si",+V3*30/100,0)</f>
        <v>60000</v>
      </c>
      <c r="Y3" s="155">
        <f>IF(W3+X3&gt;2000000,2000000,W3+X3)</f>
        <v>160000</v>
      </c>
      <c r="Z3" s="122">
        <f>+Y3*0.15</f>
        <v>24000</v>
      </c>
      <c r="AA3" s="122">
        <f>+Y3*0.5</f>
        <v>80000</v>
      </c>
      <c r="AB3" s="122">
        <f>+Y3*0.35</f>
        <v>56000</v>
      </c>
      <c r="AC3" s="122">
        <f>+Y3*0.85</f>
        <v>136000</v>
      </c>
      <c r="AD3" s="122">
        <f aca="true" t="shared" si="3" ref="AD3:AD20">+H3-Y3-K3</f>
        <v>40000</v>
      </c>
      <c r="AE3" s="122">
        <f aca="true" t="shared" si="4" ref="AE3:AE10">K3</f>
        <v>0</v>
      </c>
      <c r="AF3" s="124">
        <v>37642</v>
      </c>
      <c r="AG3" s="143" t="s">
        <v>145</v>
      </c>
      <c r="AH3" s="126">
        <v>38187</v>
      </c>
      <c r="AI3" s="129" t="s">
        <v>146</v>
      </c>
      <c r="AJ3" s="124">
        <v>38229</v>
      </c>
      <c r="AK3" s="129" t="s">
        <v>147</v>
      </c>
      <c r="AL3" s="126"/>
      <c r="AM3" s="120"/>
      <c r="AN3" s="120" t="s">
        <v>1188</v>
      </c>
      <c r="AO3" s="120" t="s">
        <v>15</v>
      </c>
      <c r="AP3" s="127" t="s">
        <v>463</v>
      </c>
      <c r="AQ3" s="163">
        <v>16</v>
      </c>
      <c r="AR3" s="163" t="s">
        <v>148</v>
      </c>
      <c r="AS3" s="172" t="s">
        <v>646</v>
      </c>
      <c r="AT3" s="172" t="s">
        <v>466</v>
      </c>
      <c r="AU3" s="121" t="s">
        <v>644</v>
      </c>
      <c r="AV3" s="150" t="s">
        <v>149</v>
      </c>
      <c r="AW3" s="125">
        <v>80017070725</v>
      </c>
      <c r="AX3" s="129" t="s">
        <v>26</v>
      </c>
      <c r="AY3" s="130" t="s">
        <v>460</v>
      </c>
      <c r="AZ3" s="130"/>
      <c r="BA3" s="609" t="s">
        <v>1130</v>
      </c>
      <c r="BB3" s="611"/>
      <c r="BC3" s="322">
        <v>1541</v>
      </c>
      <c r="BD3" s="440">
        <v>38600</v>
      </c>
      <c r="BE3" s="124">
        <v>38630</v>
      </c>
      <c r="BF3" s="154" t="s">
        <v>171</v>
      </c>
      <c r="BG3" s="154" t="s">
        <v>172</v>
      </c>
      <c r="BH3" s="123">
        <f>+BH2-AC3</f>
        <v>25364000</v>
      </c>
      <c r="BI3" s="133">
        <v>38293</v>
      </c>
      <c r="BJ3" s="133" t="s">
        <v>1325</v>
      </c>
      <c r="BK3" s="133" t="s">
        <v>1301</v>
      </c>
      <c r="BL3" s="134">
        <v>38861</v>
      </c>
      <c r="BM3" s="134">
        <v>38971</v>
      </c>
      <c r="BN3" s="134">
        <v>38869</v>
      </c>
      <c r="BO3" s="120">
        <f>18+6+1+3.02+1.02</f>
        <v>29.04</v>
      </c>
      <c r="BP3" s="124">
        <f>BN3+(BO3*365/12)</f>
        <v>39752.3</v>
      </c>
      <c r="BQ3" s="135">
        <f>+Y3*0.3</f>
        <v>48000</v>
      </c>
      <c r="BR3" s="135">
        <f>+AC3*0.3</f>
        <v>40800</v>
      </c>
      <c r="BS3" s="135">
        <f>+Z3*0.3</f>
        <v>7200</v>
      </c>
      <c r="BT3" s="120">
        <v>229</v>
      </c>
      <c r="BU3" s="124">
        <v>38993</v>
      </c>
      <c r="BV3" s="121"/>
      <c r="BW3" s="120"/>
      <c r="BX3" s="120"/>
      <c r="BY3" s="163" t="s">
        <v>617</v>
      </c>
      <c r="BZ3" s="124">
        <v>39009</v>
      </c>
      <c r="CA3" s="123">
        <f>40800+7200</f>
        <v>48000</v>
      </c>
      <c r="CB3" s="122">
        <v>35200</v>
      </c>
      <c r="CC3" s="167">
        <v>39651</v>
      </c>
      <c r="CD3" s="143">
        <f aca="true" t="shared" si="5" ref="CD3:CD13">+CB3*0.8</f>
        <v>28160</v>
      </c>
      <c r="CE3" s="143">
        <f>+CD3*0.85</f>
        <v>23936</v>
      </c>
      <c r="CF3" s="143">
        <f>+CD3*0.15</f>
        <v>4224</v>
      </c>
      <c r="CG3" s="125">
        <v>331</v>
      </c>
      <c r="CH3" s="124">
        <v>39696</v>
      </c>
      <c r="CI3" s="143" t="s">
        <v>1078</v>
      </c>
      <c r="CJ3" s="167">
        <v>39720</v>
      </c>
      <c r="CK3" s="123">
        <f>+CD3</f>
        <v>28160</v>
      </c>
      <c r="CL3" s="123">
        <v>129600</v>
      </c>
      <c r="CM3" s="124">
        <v>39734</v>
      </c>
      <c r="CN3" s="143">
        <v>75840</v>
      </c>
      <c r="CO3" s="122">
        <f>CN3*0.85</f>
        <v>64464</v>
      </c>
      <c r="CP3" s="122">
        <f>+CN3*0.15</f>
        <v>11376</v>
      </c>
      <c r="CQ3" s="125">
        <v>458</v>
      </c>
      <c r="CR3" s="124">
        <v>39748</v>
      </c>
      <c r="CS3" s="143" t="s">
        <v>1091</v>
      </c>
      <c r="CT3" s="124">
        <v>39770</v>
      </c>
      <c r="CU3" s="122">
        <f>CN3</f>
        <v>75840</v>
      </c>
      <c r="CV3" s="123">
        <v>35146</v>
      </c>
      <c r="CW3" s="124">
        <v>40092</v>
      </c>
      <c r="CX3" s="123">
        <v>0</v>
      </c>
      <c r="CY3" s="123">
        <v>0</v>
      </c>
      <c r="CZ3" s="123">
        <v>0</v>
      </c>
      <c r="DA3" s="125"/>
      <c r="DB3" s="124"/>
      <c r="DC3" s="123"/>
      <c r="DD3" s="124"/>
      <c r="DE3" s="123">
        <f>CX3</f>
        <v>0</v>
      </c>
      <c r="DF3" s="123"/>
      <c r="DG3" s="124"/>
      <c r="DH3" s="123"/>
      <c r="DI3" s="123"/>
      <c r="DJ3" s="123"/>
      <c r="DK3" s="125"/>
      <c r="DL3" s="124"/>
      <c r="DM3" s="123"/>
      <c r="DN3" s="124"/>
      <c r="DO3" s="123"/>
      <c r="DP3" s="123"/>
      <c r="DQ3" s="124"/>
      <c r="DR3" s="123"/>
      <c r="DS3" s="123"/>
      <c r="DT3" s="123"/>
      <c r="DU3" s="125"/>
      <c r="DV3" s="124"/>
      <c r="DW3" s="123"/>
      <c r="DX3" s="124"/>
      <c r="DY3" s="123"/>
      <c r="DZ3" s="123"/>
      <c r="EA3" s="124"/>
      <c r="EB3" s="123"/>
      <c r="EC3" s="123"/>
      <c r="ED3" s="123"/>
      <c r="EE3" s="125"/>
      <c r="EF3" s="124"/>
      <c r="EG3" s="123"/>
      <c r="EH3" s="124"/>
      <c r="EI3" s="123"/>
      <c r="EJ3" s="123"/>
      <c r="EK3" s="124"/>
      <c r="EL3" s="123"/>
      <c r="EM3" s="123"/>
      <c r="EN3" s="123"/>
      <c r="EO3" s="125"/>
      <c r="EP3" s="124"/>
      <c r="EQ3" s="123"/>
      <c r="ER3" s="123"/>
      <c r="ES3" s="123"/>
      <c r="ET3" s="123"/>
      <c r="EU3" s="124"/>
      <c r="EV3" s="123"/>
      <c r="EW3" s="123"/>
      <c r="EX3" s="123"/>
      <c r="EY3" s="123"/>
      <c r="EZ3" s="123"/>
      <c r="FA3" s="123"/>
      <c r="FB3" s="123"/>
      <c r="FC3" s="123"/>
      <c r="FD3" s="155">
        <f aca="true" t="shared" si="6" ref="FD3:FD14">+FE3+FF3</f>
        <v>152000</v>
      </c>
      <c r="FE3" s="388">
        <f aca="true" t="shared" si="7" ref="FE3:FE20">CK3+CU3+DE3+DO3+DY3+EI3+ES3+FC3+GJ3</f>
        <v>104000</v>
      </c>
      <c r="FF3" s="155">
        <f aca="true" t="shared" si="8" ref="FF3:FF14">+BQ3</f>
        <v>48000</v>
      </c>
      <c r="FG3" s="135">
        <f aca="true" t="shared" si="9" ref="FG3:FG20">+N3+L3</f>
        <v>200000</v>
      </c>
      <c r="FH3" s="147">
        <f aca="true" t="shared" si="10" ref="FH3:FH9">CL3+CB3+DF3+DP3+CV3+DZ3+EJ3+ET3</f>
        <v>199946</v>
      </c>
      <c r="FI3" s="151">
        <f>FG3-FH3</f>
        <v>54</v>
      </c>
      <c r="FJ3" s="421">
        <f>FH3/FG3</f>
        <v>0.99973</v>
      </c>
      <c r="FK3" s="135">
        <f>T3</f>
        <v>160000</v>
      </c>
      <c r="FL3" s="135">
        <f>BQ3</f>
        <v>48000</v>
      </c>
      <c r="FM3" s="135">
        <f aca="true" t="shared" si="11" ref="FM3:FM8">+CX3+CN3+CD3+DH3+DR3+EB3+EL3+EV3</f>
        <v>104000</v>
      </c>
      <c r="FN3" s="379">
        <f>+FO3/FK3</f>
        <v>0.95</v>
      </c>
      <c r="FO3" s="135">
        <f aca="true" t="shared" si="12" ref="FO3:FO8">+DH3+CX3+CN3+CD3+BQ3+DR3+EB3+EL3+EV3</f>
        <v>152000</v>
      </c>
      <c r="FP3" s="135">
        <f>FK3-FO3</f>
        <v>8000</v>
      </c>
      <c r="FQ3" s="148">
        <f>+FM3/FK3</f>
        <v>0.65</v>
      </c>
      <c r="FR3" s="117">
        <f aca="true" t="shared" si="13" ref="FR3:FR10">+N3-FH3</f>
        <v>54</v>
      </c>
      <c r="FT3" s="135" t="s">
        <v>1337</v>
      </c>
    </row>
    <row r="4" spans="1:177" s="127" customFormat="1" ht="12.75" customHeight="1">
      <c r="A4" s="597" t="s">
        <v>181</v>
      </c>
      <c r="B4" s="120">
        <f aca="true" t="shared" si="14" ref="B4:B20">1+B3</f>
        <v>2</v>
      </c>
      <c r="C4" s="120"/>
      <c r="D4" s="120">
        <v>2</v>
      </c>
      <c r="E4" s="121" t="s">
        <v>1176</v>
      </c>
      <c r="F4" s="121" t="s">
        <v>1185</v>
      </c>
      <c r="G4" s="120" t="s">
        <v>1419</v>
      </c>
      <c r="H4" s="122">
        <v>2366781</v>
      </c>
      <c r="I4" s="123" t="s">
        <v>1168</v>
      </c>
      <c r="J4" s="123" t="str">
        <f t="shared" si="1"/>
        <v>è</v>
      </c>
      <c r="K4" s="122">
        <v>10000</v>
      </c>
      <c r="L4" s="122"/>
      <c r="M4" s="122">
        <f aca="true" t="shared" si="15" ref="M4:M20">+H4-K4</f>
        <v>2356781</v>
      </c>
      <c r="N4" s="122">
        <v>2276816.79</v>
      </c>
      <c r="O4" s="110">
        <f>+M4-N4</f>
        <v>79964.20999999996</v>
      </c>
      <c r="P4" s="425">
        <f>+O4*0.8</f>
        <v>63971.36799999997</v>
      </c>
      <c r="Q4" s="426">
        <f aca="true" t="shared" si="16" ref="Q4:Q10">+P4*0.85</f>
        <v>54375.66279999998</v>
      </c>
      <c r="R4" s="426">
        <f aca="true" t="shared" si="17" ref="R4:R9">+P4*0.15</f>
        <v>9595.705199999995</v>
      </c>
      <c r="S4" s="431" t="s">
        <v>294</v>
      </c>
      <c r="T4" s="404">
        <f>+Y4-P4</f>
        <v>1821453.432</v>
      </c>
      <c r="U4" s="372">
        <f aca="true" t="shared" si="18" ref="U4:U20">+FH4</f>
        <v>2270751.31</v>
      </c>
      <c r="V4" s="122">
        <f aca="true" t="shared" si="19" ref="V4:V20">+M4</f>
        <v>2356781</v>
      </c>
      <c r="W4" s="122">
        <f aca="true" t="shared" si="20" ref="W4:W21">+V4*0.5</f>
        <v>1178390.5</v>
      </c>
      <c r="X4" s="122">
        <f t="shared" si="2"/>
        <v>707034.3</v>
      </c>
      <c r="Y4" s="155">
        <f aca="true" t="shared" si="21" ref="Y4:Y20">IF(W4+X4&gt;2000000,2000000,W4+X4)</f>
        <v>1885424.8</v>
      </c>
      <c r="Z4" s="122">
        <f aca="true" t="shared" si="22" ref="Z4:Z27">+Y4*0.15</f>
        <v>282813.72</v>
      </c>
      <c r="AA4" s="122">
        <f>+Y4*0.5</f>
        <v>942712.4</v>
      </c>
      <c r="AB4" s="122">
        <f>+Y4*0.35</f>
        <v>659898.6799999999</v>
      </c>
      <c r="AC4" s="122">
        <f aca="true" t="shared" si="23" ref="AC4:AC21">+Y4*0.85</f>
        <v>1602611.08</v>
      </c>
      <c r="AD4" s="122">
        <f t="shared" si="3"/>
        <v>471356.19999999995</v>
      </c>
      <c r="AE4" s="122">
        <f t="shared" si="4"/>
        <v>10000</v>
      </c>
      <c r="AF4" s="124">
        <v>37776</v>
      </c>
      <c r="AG4" s="125">
        <v>3445</v>
      </c>
      <c r="AH4" s="126">
        <v>38198</v>
      </c>
      <c r="AI4" s="125">
        <v>16080</v>
      </c>
      <c r="AJ4" s="124">
        <v>38309</v>
      </c>
      <c r="AK4" s="125">
        <v>8566</v>
      </c>
      <c r="AL4" s="126"/>
      <c r="AM4" s="120"/>
      <c r="AN4" s="127" t="s">
        <v>1185</v>
      </c>
      <c r="AO4" s="120" t="s">
        <v>15</v>
      </c>
      <c r="AP4" s="127" t="s">
        <v>620</v>
      </c>
      <c r="AQ4" s="120">
        <v>11</v>
      </c>
      <c r="AR4" s="120">
        <v>70016</v>
      </c>
      <c r="AS4" s="121" t="s">
        <v>174</v>
      </c>
      <c r="AT4" s="121" t="s">
        <v>200</v>
      </c>
      <c r="AU4" s="121" t="s">
        <v>173</v>
      </c>
      <c r="AV4" s="128" t="s">
        <v>469</v>
      </c>
      <c r="AW4" s="129" t="s">
        <v>1420</v>
      </c>
      <c r="AX4" s="129" t="s">
        <v>1420</v>
      </c>
      <c r="AY4" s="121" t="s">
        <v>702</v>
      </c>
      <c r="AZ4" s="130" t="s">
        <v>701</v>
      </c>
      <c r="BA4" s="609" t="s">
        <v>1033</v>
      </c>
      <c r="BB4" s="610"/>
      <c r="BC4" s="438">
        <v>22</v>
      </c>
      <c r="BD4" s="439">
        <v>38376</v>
      </c>
      <c r="BE4" s="124">
        <v>38412</v>
      </c>
      <c r="BF4" s="132" t="s">
        <v>49</v>
      </c>
      <c r="BG4" s="132" t="s">
        <v>50</v>
      </c>
      <c r="BH4" s="123">
        <f aca="true" t="shared" si="24" ref="BH4:BH20">+BH3-Y4</f>
        <v>23478575.2</v>
      </c>
      <c r="BI4" s="133">
        <v>38279</v>
      </c>
      <c r="BJ4" s="133" t="s">
        <v>1325</v>
      </c>
      <c r="BK4" s="133" t="s">
        <v>1301</v>
      </c>
      <c r="BL4" s="134">
        <v>38435</v>
      </c>
      <c r="BM4" s="134">
        <v>38517</v>
      </c>
      <c r="BN4" s="134">
        <v>38510</v>
      </c>
      <c r="BO4" s="108">
        <f>18+6+6+6+5.18</f>
        <v>41.18</v>
      </c>
      <c r="BP4" s="124">
        <v>39979</v>
      </c>
      <c r="BQ4" s="135">
        <f aca="true" t="shared" si="25" ref="BQ4:BQ25">+Y4*0.3</f>
        <v>565627.44</v>
      </c>
      <c r="BR4" s="135">
        <f aca="true" t="shared" si="26" ref="BR4:BR21">+AC4*0.3</f>
        <v>480783.324</v>
      </c>
      <c r="BS4" s="135">
        <f aca="true" t="shared" si="27" ref="BS4:BS21">+Z4*0.3</f>
        <v>84844.116</v>
      </c>
      <c r="BT4" s="136">
        <v>1510</v>
      </c>
      <c r="BU4" s="137">
        <v>38561</v>
      </c>
      <c r="BV4" s="138" t="s">
        <v>49</v>
      </c>
      <c r="BW4" s="138" t="s">
        <v>50</v>
      </c>
      <c r="BX4" s="136">
        <v>8160</v>
      </c>
      <c r="BY4" s="138" t="s">
        <v>152</v>
      </c>
      <c r="BZ4" s="137">
        <v>38595</v>
      </c>
      <c r="CA4" s="139">
        <f>480783.32+84844.12</f>
        <v>565627.44</v>
      </c>
      <c r="CB4" s="168">
        <v>206577.62</v>
      </c>
      <c r="CC4" s="140"/>
      <c r="CD4" s="141">
        <f t="shared" si="5"/>
        <v>165262.09600000002</v>
      </c>
      <c r="CE4" s="139">
        <v>140472.78</v>
      </c>
      <c r="CF4" s="139">
        <v>24789.31</v>
      </c>
      <c r="CG4" s="142">
        <v>70</v>
      </c>
      <c r="CH4" s="137">
        <v>39161</v>
      </c>
      <c r="CI4" s="143" t="s">
        <v>723</v>
      </c>
      <c r="CJ4" s="140">
        <v>39177</v>
      </c>
      <c r="CK4" s="139">
        <f>140472.78+24789.31</f>
        <v>165262.09</v>
      </c>
      <c r="CL4" s="123">
        <v>423997.42</v>
      </c>
      <c r="CM4" s="124">
        <v>39282</v>
      </c>
      <c r="CN4" s="143">
        <f>+CL4*0.8</f>
        <v>339197.936</v>
      </c>
      <c r="CO4" s="122">
        <f>CN4*0.85</f>
        <v>288318.24559999997</v>
      </c>
      <c r="CP4" s="122">
        <f>+CN4*0.15</f>
        <v>50879.6904</v>
      </c>
      <c r="CQ4" s="125">
        <v>249</v>
      </c>
      <c r="CR4" s="124">
        <v>39324</v>
      </c>
      <c r="CS4" s="143" t="s">
        <v>725</v>
      </c>
      <c r="CT4" s="124">
        <v>39338</v>
      </c>
      <c r="CU4" s="122">
        <f>CN4</f>
        <v>339197.936</v>
      </c>
      <c r="CV4" s="122">
        <v>419836.52</v>
      </c>
      <c r="CW4" s="124">
        <v>39422</v>
      </c>
      <c r="CX4" s="143">
        <f>+CV4*0.8</f>
        <v>335869.216</v>
      </c>
      <c r="CY4" s="123">
        <f>CX4*0.85</f>
        <v>285488.8336</v>
      </c>
      <c r="CZ4" s="123">
        <f>+CX4*0.15</f>
        <v>50380.3824</v>
      </c>
      <c r="DA4" s="125">
        <v>100</v>
      </c>
      <c r="DB4" s="124">
        <v>39535</v>
      </c>
      <c r="DC4" s="143" t="s">
        <v>445</v>
      </c>
      <c r="DD4" s="124">
        <v>39612</v>
      </c>
      <c r="DE4" s="123">
        <f>CX4</f>
        <v>335869.216</v>
      </c>
      <c r="DF4" s="123">
        <v>331496.68</v>
      </c>
      <c r="DG4" s="124">
        <v>39707</v>
      </c>
      <c r="DH4" s="327">
        <f>+DF4*0.8</f>
        <v>265197.344</v>
      </c>
      <c r="DI4" s="327">
        <f>+DH4*0.85</f>
        <v>225417.7424</v>
      </c>
      <c r="DJ4" s="327">
        <f>+DH4*0.15</f>
        <v>39779.601599999995</v>
      </c>
      <c r="DK4" s="125">
        <v>433</v>
      </c>
      <c r="DL4" s="124">
        <v>39736</v>
      </c>
      <c r="DM4" s="143" t="s">
        <v>1092</v>
      </c>
      <c r="DN4" s="124">
        <v>39749</v>
      </c>
      <c r="DO4" s="123">
        <f>+DH4</f>
        <v>265197.344</v>
      </c>
      <c r="DP4" s="123">
        <v>647798.98</v>
      </c>
      <c r="DQ4" s="124"/>
      <c r="DR4" s="123">
        <v>59226.72840000014</v>
      </c>
      <c r="DS4" s="327">
        <f>+DR4*0.85</f>
        <v>50342.71914000012</v>
      </c>
      <c r="DT4" s="327">
        <f>+DR4*0.15</f>
        <v>8884.00926000002</v>
      </c>
      <c r="DU4" s="125">
        <v>580</v>
      </c>
      <c r="DV4" s="137">
        <v>39776</v>
      </c>
      <c r="DW4" s="143" t="s">
        <v>231</v>
      </c>
      <c r="DX4" s="137">
        <v>39786</v>
      </c>
      <c r="DY4" s="139">
        <f>+DR4</f>
        <v>59226.72840000014</v>
      </c>
      <c r="DZ4" s="139">
        <v>241044.09</v>
      </c>
      <c r="EA4" s="124">
        <v>39979</v>
      </c>
      <c r="EB4" s="123">
        <v>0</v>
      </c>
      <c r="EC4" s="168"/>
      <c r="ED4" s="168"/>
      <c r="EE4" s="157"/>
      <c r="EF4" s="137"/>
      <c r="EG4" s="139"/>
      <c r="EH4" s="137"/>
      <c r="EI4" s="168">
        <v>0</v>
      </c>
      <c r="EJ4" s="139"/>
      <c r="EK4" s="137"/>
      <c r="EL4" s="139"/>
      <c r="EM4" s="139"/>
      <c r="EN4" s="139"/>
      <c r="EO4" s="157"/>
      <c r="EP4" s="137"/>
      <c r="EQ4" s="139"/>
      <c r="ER4" s="139"/>
      <c r="ES4" s="139"/>
      <c r="ET4" s="139"/>
      <c r="EU4" s="137"/>
      <c r="EV4" s="139"/>
      <c r="EW4" s="139"/>
      <c r="EX4" s="139"/>
      <c r="EY4" s="139"/>
      <c r="EZ4" s="139"/>
      <c r="FA4" s="139"/>
      <c r="FB4" s="139"/>
      <c r="FC4" s="139"/>
      <c r="FD4" s="388">
        <f t="shared" si="6"/>
        <v>1730380.7544</v>
      </c>
      <c r="FE4" s="388">
        <f t="shared" si="7"/>
        <v>1164753.3144</v>
      </c>
      <c r="FF4" s="159">
        <f t="shared" si="8"/>
        <v>565627.44</v>
      </c>
      <c r="FG4" s="147">
        <f t="shared" si="9"/>
        <v>2276816.79</v>
      </c>
      <c r="FH4" s="147">
        <f t="shared" si="10"/>
        <v>2270751.31</v>
      </c>
      <c r="FI4" s="145">
        <f aca="true" t="shared" si="28" ref="FI4:FI20">FG4-FH4</f>
        <v>6065.479999999981</v>
      </c>
      <c r="FJ4" s="586">
        <f aca="true" t="shared" si="29" ref="FJ4:FJ28">FH4/FG4</f>
        <v>0.9973359824002352</v>
      </c>
      <c r="FK4" s="147">
        <f aca="true" t="shared" si="30" ref="FK4:FK20">T4</f>
        <v>1821453.432</v>
      </c>
      <c r="FL4" s="147">
        <f aca="true" t="shared" si="31" ref="FL4:FL20">BQ4</f>
        <v>565627.44</v>
      </c>
      <c r="FM4" s="135">
        <f t="shared" si="11"/>
        <v>1164753.3204</v>
      </c>
      <c r="FN4" s="411">
        <f aca="true" t="shared" si="32" ref="FN4:FN20">+FO4/FK4</f>
        <v>0.9500000000000002</v>
      </c>
      <c r="FO4" s="135">
        <f t="shared" si="12"/>
        <v>1730380.7604000003</v>
      </c>
      <c r="FP4" s="147">
        <f aca="true" t="shared" si="33" ref="FP4:FP20">FK4-FO4</f>
        <v>91072.67159999977</v>
      </c>
      <c r="FQ4" s="423">
        <f aca="true" t="shared" si="34" ref="FQ4:FQ21">+FM4/FK4</f>
        <v>0.6394636831978036</v>
      </c>
      <c r="FR4" s="117">
        <f t="shared" si="13"/>
        <v>6065.479999999981</v>
      </c>
      <c r="FS4" s="491" t="s">
        <v>588</v>
      </c>
      <c r="FT4" s="135" t="s">
        <v>1337</v>
      </c>
      <c r="FU4" s="135"/>
    </row>
    <row r="5" spans="1:177" s="127" customFormat="1" ht="12.75" customHeight="1">
      <c r="A5" s="597" t="s">
        <v>180</v>
      </c>
      <c r="B5" s="120">
        <f t="shared" si="14"/>
        <v>3</v>
      </c>
      <c r="C5" s="120"/>
      <c r="D5" s="120">
        <v>3</v>
      </c>
      <c r="E5" s="121" t="s">
        <v>1214</v>
      </c>
      <c r="F5" s="121" t="s">
        <v>1215</v>
      </c>
      <c r="G5" s="121" t="s">
        <v>1417</v>
      </c>
      <c r="H5" s="122">
        <v>1894080</v>
      </c>
      <c r="I5" s="123" t="s">
        <v>1168</v>
      </c>
      <c r="J5" s="123" t="str">
        <f t="shared" si="1"/>
        <v>è</v>
      </c>
      <c r="K5" s="122">
        <v>30000</v>
      </c>
      <c r="L5" s="122"/>
      <c r="M5" s="122">
        <f t="shared" si="15"/>
        <v>1864080</v>
      </c>
      <c r="N5" s="122">
        <v>1832797.64</v>
      </c>
      <c r="O5" s="393">
        <f>M5-N5</f>
        <v>31282.360000000102</v>
      </c>
      <c r="P5" s="393">
        <f>+O5*0.8</f>
        <v>25025.888000000083</v>
      </c>
      <c r="Q5" s="122">
        <f t="shared" si="16"/>
        <v>21272.004800000068</v>
      </c>
      <c r="R5" s="122">
        <f t="shared" si="17"/>
        <v>3753.883200000012</v>
      </c>
      <c r="S5" s="430" t="s">
        <v>1137</v>
      </c>
      <c r="T5" s="404">
        <f>+Y5-P5</f>
        <v>1466238.112</v>
      </c>
      <c r="U5" s="372">
        <f t="shared" si="18"/>
        <v>1829958.78</v>
      </c>
      <c r="V5" s="122">
        <f t="shared" si="19"/>
        <v>1864080</v>
      </c>
      <c r="W5" s="122">
        <f t="shared" si="20"/>
        <v>932040</v>
      </c>
      <c r="X5" s="122">
        <f t="shared" si="2"/>
        <v>559224</v>
      </c>
      <c r="Y5" s="155">
        <f t="shared" si="21"/>
        <v>1491264</v>
      </c>
      <c r="Z5" s="122">
        <f t="shared" si="22"/>
        <v>223689.6</v>
      </c>
      <c r="AA5" s="122">
        <f aca="true" t="shared" si="35" ref="AA5:AA21">+Y5*0.5</f>
        <v>745632</v>
      </c>
      <c r="AB5" s="122">
        <f aca="true" t="shared" si="36" ref="AB5:AB21">+Y5*0.35</f>
        <v>521942.39999999997</v>
      </c>
      <c r="AC5" s="122">
        <f t="shared" si="23"/>
        <v>1267574.4</v>
      </c>
      <c r="AD5" s="122">
        <f t="shared" si="3"/>
        <v>372816</v>
      </c>
      <c r="AE5" s="122">
        <f t="shared" si="4"/>
        <v>30000</v>
      </c>
      <c r="AF5" s="124">
        <v>38168</v>
      </c>
      <c r="AG5" s="149" t="s">
        <v>1307</v>
      </c>
      <c r="AH5" s="126">
        <v>38198</v>
      </c>
      <c r="AI5" s="129" t="s">
        <v>1308</v>
      </c>
      <c r="AJ5" s="124">
        <v>38289</v>
      </c>
      <c r="AK5" s="125">
        <v>8359</v>
      </c>
      <c r="AL5" s="126"/>
      <c r="AM5" s="120"/>
      <c r="AN5" s="120" t="s">
        <v>1215</v>
      </c>
      <c r="AO5" s="120" t="s">
        <v>15</v>
      </c>
      <c r="AP5" s="127" t="s">
        <v>1306</v>
      </c>
      <c r="AQ5" s="120">
        <v>10</v>
      </c>
      <c r="AR5" s="120">
        <v>70023</v>
      </c>
      <c r="AS5" s="121" t="s">
        <v>194</v>
      </c>
      <c r="AT5" s="121" t="s">
        <v>119</v>
      </c>
      <c r="AU5" s="121" t="s">
        <v>175</v>
      </c>
      <c r="AV5" s="150" t="s">
        <v>470</v>
      </c>
      <c r="AW5" s="125">
        <v>82000010726</v>
      </c>
      <c r="AX5" s="129" t="s">
        <v>1418</v>
      </c>
      <c r="AY5" s="130" t="s">
        <v>1071</v>
      </c>
      <c r="AZ5" s="130" t="s">
        <v>1123</v>
      </c>
      <c r="BA5" s="609" t="s">
        <v>784</v>
      </c>
      <c r="BB5" s="611"/>
      <c r="BC5" s="438">
        <v>20</v>
      </c>
      <c r="BD5" s="439">
        <v>38376</v>
      </c>
      <c r="BE5" s="124">
        <v>38412</v>
      </c>
      <c r="BF5" s="132" t="s">
        <v>51</v>
      </c>
      <c r="BG5" s="132" t="s">
        <v>51</v>
      </c>
      <c r="BH5" s="123">
        <f t="shared" si="24"/>
        <v>21987311.2</v>
      </c>
      <c r="BI5" s="133">
        <v>38280</v>
      </c>
      <c r="BJ5" s="133" t="s">
        <v>1325</v>
      </c>
      <c r="BK5" s="133" t="s">
        <v>1301</v>
      </c>
      <c r="BL5" s="134">
        <v>38475</v>
      </c>
      <c r="BM5" s="134">
        <v>38523</v>
      </c>
      <c r="BN5" s="134">
        <v>38518</v>
      </c>
      <c r="BO5" s="108">
        <f>18+6+9+6.09+1.83</f>
        <v>40.92</v>
      </c>
      <c r="BP5" s="124">
        <f>BN5+(BO5*365/12)</f>
        <v>39762.65</v>
      </c>
      <c r="BQ5" s="135">
        <f t="shared" si="25"/>
        <v>447379.2</v>
      </c>
      <c r="BR5" s="135">
        <f t="shared" si="26"/>
        <v>380272.31999999995</v>
      </c>
      <c r="BS5" s="135">
        <f t="shared" si="27"/>
        <v>67106.88</v>
      </c>
      <c r="BT5" s="136">
        <v>1530</v>
      </c>
      <c r="BU5" s="137">
        <v>38567</v>
      </c>
      <c r="BV5" s="138" t="s">
        <v>51</v>
      </c>
      <c r="BW5" s="138" t="s">
        <v>51</v>
      </c>
      <c r="BX5" s="136">
        <v>8194</v>
      </c>
      <c r="BY5" s="138" t="s">
        <v>158</v>
      </c>
      <c r="BZ5" s="137">
        <v>38610</v>
      </c>
      <c r="CA5" s="139">
        <f>380272.32+67106.88</f>
        <v>447379.2</v>
      </c>
      <c r="CB5" s="168">
        <v>122466.62</v>
      </c>
      <c r="CC5" s="140">
        <v>39247</v>
      </c>
      <c r="CD5" s="141">
        <f t="shared" si="5"/>
        <v>97973.296</v>
      </c>
      <c r="CE5" s="141">
        <f>+CD5*0.85</f>
        <v>83277.3016</v>
      </c>
      <c r="CF5" s="141">
        <f>+CD5*0.15+0.001</f>
        <v>14695.9954</v>
      </c>
      <c r="CG5" s="144">
        <v>218</v>
      </c>
      <c r="CH5" s="137">
        <v>39274</v>
      </c>
      <c r="CI5" s="143" t="s">
        <v>724</v>
      </c>
      <c r="CJ5" s="140">
        <v>39296</v>
      </c>
      <c r="CK5" s="139">
        <f>+CD5</f>
        <v>97973.296</v>
      </c>
      <c r="CL5" s="135">
        <v>17346</v>
      </c>
      <c r="CM5" s="134">
        <v>39542</v>
      </c>
      <c r="CN5" s="143">
        <f>+CL5*0.8</f>
        <v>13876.800000000001</v>
      </c>
      <c r="CO5" s="122">
        <f>CN5*0.85</f>
        <v>11795.28</v>
      </c>
      <c r="CP5" s="122">
        <f>+CN5*0.15</f>
        <v>2081.52</v>
      </c>
      <c r="CQ5" s="125">
        <v>285</v>
      </c>
      <c r="CR5" s="124">
        <v>39653</v>
      </c>
      <c r="CS5" s="143" t="s">
        <v>1120</v>
      </c>
      <c r="CT5" s="124">
        <v>39668</v>
      </c>
      <c r="CU5" s="122">
        <f>CN5</f>
        <v>13876.800000000001</v>
      </c>
      <c r="CV5" s="122">
        <v>231881.58</v>
      </c>
      <c r="CW5" s="124">
        <v>39709</v>
      </c>
      <c r="CX5" s="143">
        <f>+CV5*0.8</f>
        <v>185505.264</v>
      </c>
      <c r="CY5" s="123">
        <f>CX5*0.85</f>
        <v>157679.4744</v>
      </c>
      <c r="CZ5" s="123">
        <f>+CX5*0.15</f>
        <v>27825.7896</v>
      </c>
      <c r="DA5" s="125">
        <v>434</v>
      </c>
      <c r="DB5" s="124">
        <v>39736</v>
      </c>
      <c r="DC5" s="143" t="s">
        <v>1098</v>
      </c>
      <c r="DD5" s="124">
        <v>39749</v>
      </c>
      <c r="DE5" s="123">
        <f>CX5</f>
        <v>185505.264</v>
      </c>
      <c r="DF5" s="123">
        <f>362104.5-4200+124400</f>
        <v>482304.5</v>
      </c>
      <c r="DG5" s="124">
        <v>39784</v>
      </c>
      <c r="DH5" s="327">
        <f>+DF5*0.8</f>
        <v>385843.60000000003</v>
      </c>
      <c r="DI5" s="327">
        <f>+DH5*0.85</f>
        <v>327967.06</v>
      </c>
      <c r="DJ5" s="327">
        <f>+DH5*0.15</f>
        <v>57876.54</v>
      </c>
      <c r="DK5" s="125">
        <v>40</v>
      </c>
      <c r="DL5" s="124">
        <v>39840</v>
      </c>
      <c r="DM5" s="143" t="s">
        <v>362</v>
      </c>
      <c r="DN5" s="124">
        <v>39856</v>
      </c>
      <c r="DO5" s="123">
        <f>+DH5</f>
        <v>385843.60000000003</v>
      </c>
      <c r="DP5" s="123">
        <f>547614.34+4200</f>
        <v>551814.34</v>
      </c>
      <c r="DQ5" s="124">
        <v>39910</v>
      </c>
      <c r="DR5" s="123">
        <f>262348.0464</f>
        <v>262348.0464</v>
      </c>
      <c r="DS5" s="327">
        <f>+DR5*0.85</f>
        <v>222995.83943999998</v>
      </c>
      <c r="DT5" s="327">
        <f>+DR5*0.15</f>
        <v>39352.206959999996</v>
      </c>
      <c r="DU5" s="125">
        <v>226</v>
      </c>
      <c r="DV5" s="137">
        <v>39930</v>
      </c>
      <c r="DW5" s="143" t="s">
        <v>1413</v>
      </c>
      <c r="DX5" s="137">
        <v>39945</v>
      </c>
      <c r="DY5" s="139">
        <f>+DR5</f>
        <v>262348.0464</v>
      </c>
      <c r="DZ5" s="139">
        <v>424145.74</v>
      </c>
      <c r="EA5" s="486" t="s">
        <v>1293</v>
      </c>
      <c r="EB5" s="139">
        <v>0</v>
      </c>
      <c r="EC5" s="139"/>
      <c r="ED5" s="139"/>
      <c r="EE5" s="157"/>
      <c r="EF5" s="137"/>
      <c r="EG5" s="139"/>
      <c r="EH5" s="137"/>
      <c r="EI5" s="168">
        <f>+EB5</f>
        <v>0</v>
      </c>
      <c r="EJ5" s="139"/>
      <c r="EK5" s="137"/>
      <c r="EL5" s="139"/>
      <c r="EM5" s="139"/>
      <c r="EN5" s="139"/>
      <c r="EO5" s="157"/>
      <c r="EP5" s="137"/>
      <c r="EQ5" s="139"/>
      <c r="ER5" s="139"/>
      <c r="ES5" s="139"/>
      <c r="ET5" s="139"/>
      <c r="EU5" s="137"/>
      <c r="EV5" s="139"/>
      <c r="EW5" s="139"/>
      <c r="EX5" s="139"/>
      <c r="EY5" s="139"/>
      <c r="EZ5" s="139"/>
      <c r="FA5" s="139"/>
      <c r="FB5" s="139"/>
      <c r="FC5" s="139"/>
      <c r="FD5" s="388">
        <f t="shared" si="6"/>
        <v>1392926.2064</v>
      </c>
      <c r="FE5" s="388">
        <f t="shared" si="7"/>
        <v>945547.0064</v>
      </c>
      <c r="FF5" s="159">
        <f t="shared" si="8"/>
        <v>447379.2</v>
      </c>
      <c r="FG5" s="147">
        <f t="shared" si="9"/>
        <v>1832797.64</v>
      </c>
      <c r="FH5" s="147">
        <f t="shared" si="10"/>
        <v>1829958.78</v>
      </c>
      <c r="FI5" s="145">
        <f t="shared" si="28"/>
        <v>2838.8599999998696</v>
      </c>
      <c r="FJ5" s="421">
        <f t="shared" si="29"/>
        <v>0.9984510783198085</v>
      </c>
      <c r="FK5" s="147">
        <f t="shared" si="30"/>
        <v>1466238.112</v>
      </c>
      <c r="FL5" s="147">
        <f t="shared" si="31"/>
        <v>447379.2</v>
      </c>
      <c r="FM5" s="135">
        <f t="shared" si="11"/>
        <v>945547.0064</v>
      </c>
      <c r="FN5" s="379">
        <f t="shared" si="32"/>
        <v>0.9500000000000001</v>
      </c>
      <c r="FO5" s="135">
        <f t="shared" si="12"/>
        <v>1392926.2064</v>
      </c>
      <c r="FP5" s="147">
        <f t="shared" si="33"/>
        <v>73311.90559999994</v>
      </c>
      <c r="FQ5" s="423">
        <f t="shared" si="34"/>
        <v>0.644879572193251</v>
      </c>
      <c r="FR5" s="117">
        <f t="shared" si="13"/>
        <v>2838.8599999998696</v>
      </c>
      <c r="FS5" s="491" t="s">
        <v>589</v>
      </c>
      <c r="FT5" s="135" t="s">
        <v>1337</v>
      </c>
      <c r="FU5" s="135"/>
    </row>
    <row r="6" spans="1:176" s="127" customFormat="1" ht="12.75" customHeight="1">
      <c r="A6" s="597" t="s">
        <v>1110</v>
      </c>
      <c r="B6" s="120">
        <f t="shared" si="14"/>
        <v>4</v>
      </c>
      <c r="C6" s="120"/>
      <c r="D6" s="120">
        <v>4</v>
      </c>
      <c r="E6" s="121" t="s">
        <v>1199</v>
      </c>
      <c r="F6" s="121" t="s">
        <v>1200</v>
      </c>
      <c r="G6" s="121" t="s">
        <v>5</v>
      </c>
      <c r="H6" s="122">
        <v>2244000</v>
      </c>
      <c r="I6" s="123" t="s">
        <v>1168</v>
      </c>
      <c r="J6" s="123" t="str">
        <f t="shared" si="1"/>
        <v>è</v>
      </c>
      <c r="K6" s="122">
        <v>90000</v>
      </c>
      <c r="L6" s="122"/>
      <c r="M6" s="122">
        <f t="shared" si="15"/>
        <v>2154000</v>
      </c>
      <c r="N6" s="122">
        <v>1998060</v>
      </c>
      <c r="O6" s="122">
        <f>+M6-N6</f>
        <v>155940</v>
      </c>
      <c r="P6" s="122">
        <f>+O6*0.8</f>
        <v>124752</v>
      </c>
      <c r="Q6" s="122">
        <f t="shared" si="16"/>
        <v>106039.2</v>
      </c>
      <c r="R6" s="122">
        <f t="shared" si="17"/>
        <v>18712.8</v>
      </c>
      <c r="S6" s="431" t="s">
        <v>295</v>
      </c>
      <c r="T6" s="404">
        <f aca="true" t="shared" si="37" ref="T6:T20">+Y6-P6</f>
        <v>1598448</v>
      </c>
      <c r="U6" s="155">
        <f t="shared" si="18"/>
        <v>1205067.68</v>
      </c>
      <c r="V6" s="122">
        <f t="shared" si="19"/>
        <v>2154000</v>
      </c>
      <c r="W6" s="122">
        <f t="shared" si="20"/>
        <v>1077000</v>
      </c>
      <c r="X6" s="122">
        <f t="shared" si="2"/>
        <v>646200</v>
      </c>
      <c r="Y6" s="155">
        <f t="shared" si="21"/>
        <v>1723200</v>
      </c>
      <c r="Z6" s="122">
        <f t="shared" si="22"/>
        <v>258480</v>
      </c>
      <c r="AA6" s="122">
        <f t="shared" si="35"/>
        <v>861600</v>
      </c>
      <c r="AB6" s="122">
        <f t="shared" si="36"/>
        <v>603120</v>
      </c>
      <c r="AC6" s="122">
        <f t="shared" si="23"/>
        <v>1464720</v>
      </c>
      <c r="AD6" s="122">
        <f t="shared" si="3"/>
        <v>430800</v>
      </c>
      <c r="AE6" s="122">
        <f t="shared" si="4"/>
        <v>90000</v>
      </c>
      <c r="AF6" s="124">
        <v>37776</v>
      </c>
      <c r="AG6" s="123" t="s">
        <v>3</v>
      </c>
      <c r="AH6" s="126">
        <v>38183</v>
      </c>
      <c r="AI6" s="125">
        <v>46688</v>
      </c>
      <c r="AJ6" s="124">
        <v>38334</v>
      </c>
      <c r="AK6" s="125">
        <v>9180</v>
      </c>
      <c r="AL6" s="126"/>
      <c r="AM6" s="120"/>
      <c r="AN6" s="120" t="s">
        <v>1200</v>
      </c>
      <c r="AO6" s="120" t="s">
        <v>14</v>
      </c>
      <c r="AP6" s="127" t="s">
        <v>4</v>
      </c>
      <c r="AQ6" s="120">
        <v>3</v>
      </c>
      <c r="AR6" s="120">
        <v>72100</v>
      </c>
      <c r="AS6" s="121" t="s">
        <v>1069</v>
      </c>
      <c r="AT6" s="121" t="s">
        <v>476</v>
      </c>
      <c r="AU6" s="121" t="s">
        <v>264</v>
      </c>
      <c r="AV6" s="150" t="s">
        <v>756</v>
      </c>
      <c r="AW6" s="125">
        <v>80000250748</v>
      </c>
      <c r="AX6" s="129" t="s">
        <v>1070</v>
      </c>
      <c r="AY6" s="130" t="s">
        <v>406</v>
      </c>
      <c r="AZ6" s="130" t="s">
        <v>407</v>
      </c>
      <c r="BA6" s="612" t="s">
        <v>1041</v>
      </c>
      <c r="BB6" s="613"/>
      <c r="BC6" s="322">
        <v>113</v>
      </c>
      <c r="BD6" s="440">
        <v>38404</v>
      </c>
      <c r="BE6" s="160">
        <v>38441</v>
      </c>
      <c r="BF6" s="132" t="s">
        <v>100</v>
      </c>
      <c r="BG6" s="132" t="s">
        <v>101</v>
      </c>
      <c r="BH6" s="123">
        <f t="shared" si="24"/>
        <v>20264111.2</v>
      </c>
      <c r="BI6" s="133">
        <v>38280</v>
      </c>
      <c r="BJ6" s="133" t="s">
        <v>1325</v>
      </c>
      <c r="BK6" s="133" t="s">
        <v>1301</v>
      </c>
      <c r="BL6" s="134">
        <v>38817</v>
      </c>
      <c r="BM6" s="134">
        <v>38887</v>
      </c>
      <c r="BN6" s="134">
        <v>38911</v>
      </c>
      <c r="BO6" s="120">
        <f>18+5.1+4.58</f>
        <v>27.68</v>
      </c>
      <c r="BP6" s="124">
        <v>39979</v>
      </c>
      <c r="BQ6" s="135">
        <f t="shared" si="25"/>
        <v>516960</v>
      </c>
      <c r="BR6" s="135">
        <f t="shared" si="26"/>
        <v>439416</v>
      </c>
      <c r="BS6" s="135">
        <f t="shared" si="27"/>
        <v>77544</v>
      </c>
      <c r="BT6" s="120">
        <v>777</v>
      </c>
      <c r="BU6" s="124">
        <v>38919</v>
      </c>
      <c r="BV6" s="120"/>
      <c r="BW6" s="120"/>
      <c r="BX6" s="120">
        <v>12297</v>
      </c>
      <c r="BY6" s="163" t="s">
        <v>454</v>
      </c>
      <c r="BZ6" s="124">
        <v>38972</v>
      </c>
      <c r="CA6" s="123">
        <f>439416+77544</f>
        <v>516960</v>
      </c>
      <c r="CB6" s="122">
        <v>368560.17</v>
      </c>
      <c r="CC6" s="167">
        <v>39626</v>
      </c>
      <c r="CD6" s="143">
        <f t="shared" si="5"/>
        <v>294848.136</v>
      </c>
      <c r="CE6" s="143">
        <f>+CD6*0.85</f>
        <v>250620.91559999998</v>
      </c>
      <c r="CF6" s="143">
        <f>+CD6*0.15+0.001</f>
        <v>44227.221399999995</v>
      </c>
      <c r="CG6" s="125">
        <v>256</v>
      </c>
      <c r="CH6" s="124">
        <v>39644</v>
      </c>
      <c r="CI6" s="143" t="s">
        <v>1117</v>
      </c>
      <c r="CJ6" s="167">
        <v>39665</v>
      </c>
      <c r="CK6" s="123">
        <f>+CD6</f>
        <v>294848.136</v>
      </c>
      <c r="CL6" s="123">
        <v>363530.82</v>
      </c>
      <c r="CM6" s="124">
        <v>39811</v>
      </c>
      <c r="CN6" s="143">
        <f>+CL6*0.8</f>
        <v>290824.656</v>
      </c>
      <c r="CO6" s="122">
        <f>CN6*0.85</f>
        <v>247200.9576</v>
      </c>
      <c r="CP6" s="122">
        <f>+CN6*0.15</f>
        <v>43623.6984</v>
      </c>
      <c r="CQ6" s="125">
        <v>88</v>
      </c>
      <c r="CR6" s="124">
        <v>39868</v>
      </c>
      <c r="CS6" s="143" t="s">
        <v>378</v>
      </c>
      <c r="CT6" s="124">
        <v>39890</v>
      </c>
      <c r="CU6" s="122">
        <f>CN6</f>
        <v>290824.656</v>
      </c>
      <c r="CV6" s="122">
        <v>472976.69</v>
      </c>
      <c r="CW6" s="124">
        <v>39980</v>
      </c>
      <c r="CX6" s="143">
        <f>+CV6*0.8</f>
        <v>378381.352</v>
      </c>
      <c r="CY6" s="123">
        <f>CX6*0.85</f>
        <v>321624.1492</v>
      </c>
      <c r="CZ6" s="123">
        <f>+CX6*0.15</f>
        <v>56757.2028</v>
      </c>
      <c r="DA6" s="125">
        <v>501</v>
      </c>
      <c r="DB6" s="124">
        <v>40021</v>
      </c>
      <c r="DC6" s="143" t="s">
        <v>65</v>
      </c>
      <c r="DD6" s="124">
        <v>40035</v>
      </c>
      <c r="DE6" s="123">
        <f>CX6</f>
        <v>378381.352</v>
      </c>
      <c r="DF6" s="123"/>
      <c r="DG6" s="124"/>
      <c r="DH6" s="123"/>
      <c r="DI6" s="123"/>
      <c r="DJ6" s="123"/>
      <c r="DK6" s="125"/>
      <c r="DL6" s="124"/>
      <c r="DM6" s="123"/>
      <c r="DN6" s="124"/>
      <c r="DO6" s="123"/>
      <c r="DP6" s="123"/>
      <c r="DQ6" s="124"/>
      <c r="DR6" s="123"/>
      <c r="DS6" s="123"/>
      <c r="DT6" s="123"/>
      <c r="DU6" s="125"/>
      <c r="DV6" s="124"/>
      <c r="DW6" s="123"/>
      <c r="DX6" s="124"/>
      <c r="DY6" s="123"/>
      <c r="DZ6" s="123"/>
      <c r="EA6" s="124"/>
      <c r="EB6" s="123"/>
      <c r="EC6" s="123"/>
      <c r="ED6" s="123"/>
      <c r="EE6" s="125"/>
      <c r="EF6" s="124"/>
      <c r="EG6" s="123"/>
      <c r="EH6" s="124"/>
      <c r="EI6" s="123"/>
      <c r="EJ6" s="123"/>
      <c r="EK6" s="124"/>
      <c r="EL6" s="123"/>
      <c r="EM6" s="123"/>
      <c r="EN6" s="123"/>
      <c r="EO6" s="125"/>
      <c r="EP6" s="124"/>
      <c r="EQ6" s="123"/>
      <c r="ER6" s="123"/>
      <c r="ES6" s="123"/>
      <c r="ET6" s="123"/>
      <c r="EU6" s="124"/>
      <c r="EV6" s="123"/>
      <c r="EW6" s="123"/>
      <c r="EX6" s="123"/>
      <c r="EY6" s="123"/>
      <c r="EZ6" s="123"/>
      <c r="FA6" s="123"/>
      <c r="FB6" s="123"/>
      <c r="FC6" s="123"/>
      <c r="FD6" s="155">
        <f t="shared" si="6"/>
        <v>1481014.144</v>
      </c>
      <c r="FE6" s="388">
        <f t="shared" si="7"/>
        <v>964054.1440000001</v>
      </c>
      <c r="FF6" s="155">
        <f t="shared" si="8"/>
        <v>516960</v>
      </c>
      <c r="FG6" s="135">
        <f t="shared" si="9"/>
        <v>1998060</v>
      </c>
      <c r="FH6" s="147">
        <f t="shared" si="10"/>
        <v>1205067.68</v>
      </c>
      <c r="FI6" s="151">
        <f t="shared" si="28"/>
        <v>792992.3200000001</v>
      </c>
      <c r="FJ6" s="421">
        <f t="shared" si="29"/>
        <v>0.6031188652993403</v>
      </c>
      <c r="FK6" s="135">
        <f t="shared" si="30"/>
        <v>1598448</v>
      </c>
      <c r="FL6" s="135">
        <f t="shared" si="31"/>
        <v>516960</v>
      </c>
      <c r="FM6" s="135">
        <f t="shared" si="11"/>
        <v>964054.1440000001</v>
      </c>
      <c r="FN6" s="401">
        <f t="shared" si="32"/>
        <v>0.9265325765993013</v>
      </c>
      <c r="FO6" s="135">
        <f t="shared" si="12"/>
        <v>1481014.144</v>
      </c>
      <c r="FP6" s="135">
        <f>FK6-FO6</f>
        <v>117433.85599999991</v>
      </c>
      <c r="FQ6" s="148">
        <f t="shared" si="34"/>
        <v>0.6031188652993404</v>
      </c>
      <c r="FR6" s="117">
        <f t="shared" si="13"/>
        <v>792992.3200000001</v>
      </c>
      <c r="FS6" s="127" t="s">
        <v>590</v>
      </c>
      <c r="FT6" s="135" t="s">
        <v>1337</v>
      </c>
    </row>
    <row r="7" spans="1:182" s="385" customFormat="1" ht="12.75" customHeight="1">
      <c r="A7" s="597" t="s">
        <v>179</v>
      </c>
      <c r="B7" s="380">
        <f t="shared" si="14"/>
        <v>5</v>
      </c>
      <c r="C7" s="380"/>
      <c r="D7" s="380">
        <v>5</v>
      </c>
      <c r="E7" s="381" t="s">
        <v>1202</v>
      </c>
      <c r="F7" s="381" t="s">
        <v>1392</v>
      </c>
      <c r="G7" s="381" t="s">
        <v>1402</v>
      </c>
      <c r="H7" s="162">
        <v>2303490</v>
      </c>
      <c r="I7" s="118" t="s">
        <v>1168</v>
      </c>
      <c r="J7" s="118" t="str">
        <f t="shared" si="1"/>
        <v>è</v>
      </c>
      <c r="K7" s="155">
        <v>0</v>
      </c>
      <c r="L7" s="162"/>
      <c r="M7" s="122">
        <f t="shared" si="15"/>
        <v>2303490</v>
      </c>
      <c r="N7" s="122">
        <f>+M7</f>
        <v>2303490</v>
      </c>
      <c r="O7" s="122">
        <f>M7</f>
        <v>2303490</v>
      </c>
      <c r="P7" s="393">
        <f>1289954.4+552837.6</f>
        <v>1842792</v>
      </c>
      <c r="Q7" s="122">
        <f t="shared" si="16"/>
        <v>1566373.2</v>
      </c>
      <c r="R7" s="122">
        <f t="shared" si="17"/>
        <v>276418.8</v>
      </c>
      <c r="S7" s="427" t="s">
        <v>1385</v>
      </c>
      <c r="T7" s="404">
        <f t="shared" si="37"/>
        <v>0</v>
      </c>
      <c r="U7" s="162">
        <f t="shared" si="18"/>
        <v>0</v>
      </c>
      <c r="V7" s="162">
        <f t="shared" si="19"/>
        <v>2303490</v>
      </c>
      <c r="W7" s="162">
        <f t="shared" si="20"/>
        <v>1151745</v>
      </c>
      <c r="X7" s="162">
        <f t="shared" si="2"/>
        <v>691047</v>
      </c>
      <c r="Y7" s="162">
        <f t="shared" si="21"/>
        <v>1842792</v>
      </c>
      <c r="Z7" s="162">
        <f t="shared" si="22"/>
        <v>276418.8</v>
      </c>
      <c r="AA7" s="162">
        <f t="shared" si="35"/>
        <v>921396</v>
      </c>
      <c r="AB7" s="162">
        <f t="shared" si="36"/>
        <v>644977.2</v>
      </c>
      <c r="AC7" s="162">
        <f t="shared" si="23"/>
        <v>1566373.2</v>
      </c>
      <c r="AD7" s="162">
        <f t="shared" si="3"/>
        <v>460698</v>
      </c>
      <c r="AE7" s="162">
        <f t="shared" si="4"/>
        <v>0</v>
      </c>
      <c r="AF7" s="346">
        <v>37776</v>
      </c>
      <c r="AG7" s="382" t="s">
        <v>1399</v>
      </c>
      <c r="AH7" s="383">
        <v>38293</v>
      </c>
      <c r="AI7" s="384" t="s">
        <v>1398</v>
      </c>
      <c r="AJ7" s="346">
        <v>38294</v>
      </c>
      <c r="AK7" s="384" t="s">
        <v>26</v>
      </c>
      <c r="AL7" s="383"/>
      <c r="AM7" s="380"/>
      <c r="AN7" s="381" t="s">
        <v>1400</v>
      </c>
      <c r="AO7" s="380" t="s">
        <v>17</v>
      </c>
      <c r="AP7" s="385" t="s">
        <v>1401</v>
      </c>
      <c r="AQ7" s="380">
        <v>119</v>
      </c>
      <c r="AR7" s="380">
        <v>71037</v>
      </c>
      <c r="AS7" s="381" t="s">
        <v>479</v>
      </c>
      <c r="AT7" s="381" t="s">
        <v>54</v>
      </c>
      <c r="AU7" s="381" t="s">
        <v>478</v>
      </c>
      <c r="AV7" s="386" t="s">
        <v>480</v>
      </c>
      <c r="AW7" s="387">
        <v>83001630710</v>
      </c>
      <c r="AX7" s="384" t="s">
        <v>1418</v>
      </c>
      <c r="AY7" s="374" t="s">
        <v>204</v>
      </c>
      <c r="AZ7" s="374" t="s">
        <v>1415</v>
      </c>
      <c r="BA7" s="384" t="s">
        <v>205</v>
      </c>
      <c r="BB7" s="384" t="s">
        <v>206</v>
      </c>
      <c r="BC7" s="436">
        <v>558</v>
      </c>
      <c r="BD7" s="437">
        <v>38307</v>
      </c>
      <c r="BE7" s="346">
        <v>38339</v>
      </c>
      <c r="BF7" s="375" t="s">
        <v>1407</v>
      </c>
      <c r="BG7" s="375" t="s">
        <v>1408</v>
      </c>
      <c r="BH7" s="118">
        <f t="shared" si="24"/>
        <v>18421319.2</v>
      </c>
      <c r="BI7" s="376">
        <v>38293</v>
      </c>
      <c r="BJ7" s="376" t="s">
        <v>1325</v>
      </c>
      <c r="BK7" s="376" t="s">
        <v>1301</v>
      </c>
      <c r="BL7" s="377">
        <v>38531</v>
      </c>
      <c r="BM7" s="377">
        <v>38616</v>
      </c>
      <c r="BN7" s="377">
        <v>38616</v>
      </c>
      <c r="BO7" s="380">
        <f>27+6</f>
        <v>33</v>
      </c>
      <c r="BP7" s="346">
        <f>BN7+(BO7*365/12)</f>
        <v>39619.75</v>
      </c>
      <c r="BQ7" s="117">
        <f t="shared" si="25"/>
        <v>552837.6</v>
      </c>
      <c r="BR7" s="117">
        <f t="shared" si="26"/>
        <v>469911.95999999996</v>
      </c>
      <c r="BS7" s="117">
        <f t="shared" si="27"/>
        <v>82925.64</v>
      </c>
      <c r="BT7" s="380">
        <v>1679</v>
      </c>
      <c r="BU7" s="346">
        <v>38658</v>
      </c>
      <c r="BV7" s="380"/>
      <c r="BW7" s="380"/>
      <c r="BX7" s="380"/>
      <c r="BY7" s="380" t="s">
        <v>246</v>
      </c>
      <c r="BZ7" s="346">
        <v>38672</v>
      </c>
      <c r="CA7" s="118">
        <f>469911.96+82925.64</f>
        <v>552837.6</v>
      </c>
      <c r="CB7" s="412">
        <v>0</v>
      </c>
      <c r="CC7" s="378" t="s">
        <v>769</v>
      </c>
      <c r="CD7" s="382">
        <f t="shared" si="5"/>
        <v>0</v>
      </c>
      <c r="CE7" s="382">
        <f>+CD7*0.85</f>
        <v>0</v>
      </c>
      <c r="CF7" s="382">
        <f>+CD7*0.15</f>
        <v>0</v>
      </c>
      <c r="CG7" s="118"/>
      <c r="CH7" s="346"/>
      <c r="CI7" s="118"/>
      <c r="CJ7" s="378"/>
      <c r="CK7" s="118">
        <f>+CD7</f>
        <v>0</v>
      </c>
      <c r="CL7" s="152"/>
      <c r="CM7" s="440"/>
      <c r="CN7" s="152"/>
      <c r="CO7" s="155"/>
      <c r="CP7" s="155"/>
      <c r="CQ7" s="590"/>
      <c r="CR7" s="440"/>
      <c r="CS7" s="152"/>
      <c r="CT7" s="440"/>
      <c r="CU7" s="155"/>
      <c r="CV7" s="155"/>
      <c r="CW7" s="440"/>
      <c r="CX7" s="152"/>
      <c r="CY7" s="152"/>
      <c r="CZ7" s="152"/>
      <c r="DA7" s="590"/>
      <c r="DB7" s="440"/>
      <c r="DC7" s="152"/>
      <c r="DD7" s="440"/>
      <c r="DE7" s="152"/>
      <c r="DF7" s="152"/>
      <c r="DG7" s="440"/>
      <c r="DH7" s="152"/>
      <c r="DI7" s="152"/>
      <c r="DJ7" s="152"/>
      <c r="DK7" s="590"/>
      <c r="DL7" s="440"/>
      <c r="DM7" s="152"/>
      <c r="DN7" s="440"/>
      <c r="DO7" s="152"/>
      <c r="DP7" s="152"/>
      <c r="DQ7" s="440"/>
      <c r="DR7" s="152"/>
      <c r="DS7" s="152"/>
      <c r="DT7" s="152"/>
      <c r="DU7" s="590"/>
      <c r="DV7" s="346"/>
      <c r="DW7" s="152"/>
      <c r="DX7" s="346"/>
      <c r="DY7" s="118"/>
      <c r="DZ7" s="118"/>
      <c r="EA7" s="346"/>
      <c r="EB7" s="118"/>
      <c r="EC7" s="118"/>
      <c r="ED7" s="118"/>
      <c r="EE7" s="387"/>
      <c r="EF7" s="346"/>
      <c r="EG7" s="118"/>
      <c r="EH7" s="346"/>
      <c r="EI7" s="118"/>
      <c r="EJ7" s="118"/>
      <c r="EK7" s="346"/>
      <c r="EL7" s="118"/>
      <c r="EM7" s="118"/>
      <c r="EN7" s="118"/>
      <c r="EO7" s="387"/>
      <c r="EP7" s="346"/>
      <c r="EQ7" s="118"/>
      <c r="ER7" s="118"/>
      <c r="ES7" s="118"/>
      <c r="ET7" s="118"/>
      <c r="EU7" s="346"/>
      <c r="EV7" s="118"/>
      <c r="EW7" s="118"/>
      <c r="EX7" s="118"/>
      <c r="EY7" s="118"/>
      <c r="EZ7" s="118"/>
      <c r="FA7" s="118"/>
      <c r="FB7" s="118"/>
      <c r="FC7" s="118"/>
      <c r="FD7" s="388">
        <f t="shared" si="6"/>
        <v>552837.6</v>
      </c>
      <c r="FE7" s="388">
        <f t="shared" si="7"/>
        <v>0</v>
      </c>
      <c r="FF7" s="159">
        <f t="shared" si="8"/>
        <v>552837.6</v>
      </c>
      <c r="FG7" s="147">
        <f t="shared" si="9"/>
        <v>2303490</v>
      </c>
      <c r="FH7" s="147">
        <f t="shared" si="10"/>
        <v>0</v>
      </c>
      <c r="FI7" s="145">
        <f t="shared" si="28"/>
        <v>2303490</v>
      </c>
      <c r="FJ7" s="421">
        <f t="shared" si="29"/>
        <v>0</v>
      </c>
      <c r="FK7" s="147">
        <f t="shared" si="30"/>
        <v>0</v>
      </c>
      <c r="FL7" s="145">
        <f t="shared" si="31"/>
        <v>552837.6</v>
      </c>
      <c r="FM7" s="135">
        <f t="shared" si="11"/>
        <v>0</v>
      </c>
      <c r="FN7" s="401" t="s">
        <v>1082</v>
      </c>
      <c r="FO7" s="135">
        <f t="shared" si="12"/>
        <v>552837.6</v>
      </c>
      <c r="FP7" s="145"/>
      <c r="FQ7" s="148"/>
      <c r="FR7" s="117">
        <f t="shared" si="13"/>
        <v>2303490</v>
      </c>
      <c r="FT7" s="385" t="s">
        <v>1337</v>
      </c>
      <c r="FU7" s="385" t="s">
        <v>1056</v>
      </c>
      <c r="FZ7" s="385" t="s">
        <v>1337</v>
      </c>
    </row>
    <row r="8" spans="1:177" s="127" customFormat="1" ht="12.75" customHeight="1">
      <c r="A8" s="597" t="s">
        <v>193</v>
      </c>
      <c r="B8" s="120">
        <f t="shared" si="14"/>
        <v>6</v>
      </c>
      <c r="C8" s="120"/>
      <c r="D8" s="120">
        <v>6</v>
      </c>
      <c r="E8" s="121" t="s">
        <v>1191</v>
      </c>
      <c r="F8" s="121" t="s">
        <v>1192</v>
      </c>
      <c r="G8" s="121" t="s">
        <v>98</v>
      </c>
      <c r="H8" s="122">
        <v>535000</v>
      </c>
      <c r="I8" s="123" t="s">
        <v>1168</v>
      </c>
      <c r="J8" s="123" t="str">
        <f t="shared" si="1"/>
        <v>è</v>
      </c>
      <c r="K8" s="122">
        <v>25600</v>
      </c>
      <c r="L8" s="122"/>
      <c r="M8" s="122">
        <f t="shared" si="15"/>
        <v>509400</v>
      </c>
      <c r="N8" s="122">
        <f>+M8-O8</f>
        <v>422663.2</v>
      </c>
      <c r="O8" s="393">
        <v>86736.8</v>
      </c>
      <c r="P8" s="393">
        <f>+O8*0.8</f>
        <v>69389.44</v>
      </c>
      <c r="Q8" s="122">
        <f t="shared" si="16"/>
        <v>58981.024</v>
      </c>
      <c r="R8" s="122">
        <f t="shared" si="17"/>
        <v>10408.416</v>
      </c>
      <c r="S8" s="431" t="s">
        <v>551</v>
      </c>
      <c r="T8" s="404">
        <f t="shared" si="37"/>
        <v>338130.56</v>
      </c>
      <c r="U8" s="155">
        <f t="shared" si="18"/>
        <v>447264.58999999997</v>
      </c>
      <c r="V8" s="122">
        <f t="shared" si="19"/>
        <v>509400</v>
      </c>
      <c r="W8" s="122">
        <f t="shared" si="20"/>
        <v>254700</v>
      </c>
      <c r="X8" s="122">
        <f t="shared" si="2"/>
        <v>152820</v>
      </c>
      <c r="Y8" s="155">
        <f t="shared" si="21"/>
        <v>407520</v>
      </c>
      <c r="Z8" s="122">
        <f t="shared" si="22"/>
        <v>61128</v>
      </c>
      <c r="AA8" s="122">
        <f t="shared" si="35"/>
        <v>203760</v>
      </c>
      <c r="AB8" s="122">
        <f t="shared" si="36"/>
        <v>142632</v>
      </c>
      <c r="AC8" s="122">
        <f t="shared" si="23"/>
        <v>346392</v>
      </c>
      <c r="AD8" s="122">
        <f t="shared" si="3"/>
        <v>101880</v>
      </c>
      <c r="AE8" s="122">
        <f t="shared" si="4"/>
        <v>25600</v>
      </c>
      <c r="AF8" s="124">
        <v>37642</v>
      </c>
      <c r="AG8" s="143" t="s">
        <v>250</v>
      </c>
      <c r="AH8" s="126">
        <v>38198</v>
      </c>
      <c r="AI8" s="125">
        <v>30333</v>
      </c>
      <c r="AJ8" s="124">
        <v>38198</v>
      </c>
      <c r="AK8" s="129" t="s">
        <v>26</v>
      </c>
      <c r="AL8" s="126"/>
      <c r="AM8" s="120"/>
      <c r="AN8" s="120" t="s">
        <v>1192</v>
      </c>
      <c r="AO8" s="120" t="s">
        <v>17</v>
      </c>
      <c r="AP8" s="127" t="s">
        <v>82</v>
      </c>
      <c r="AQ8" s="120">
        <v>74</v>
      </c>
      <c r="AR8" s="120">
        <v>71036</v>
      </c>
      <c r="AS8" s="172" t="s">
        <v>1255</v>
      </c>
      <c r="AT8" s="172" t="s">
        <v>1257</v>
      </c>
      <c r="AU8" s="121" t="s">
        <v>251</v>
      </c>
      <c r="AV8" s="150" t="s">
        <v>1256</v>
      </c>
      <c r="AW8" s="129" t="s">
        <v>252</v>
      </c>
      <c r="AX8" s="129" t="s">
        <v>1418</v>
      </c>
      <c r="AY8" s="130" t="s">
        <v>457</v>
      </c>
      <c r="AZ8" s="130" t="s">
        <v>458</v>
      </c>
      <c r="BA8" s="609" t="s">
        <v>38</v>
      </c>
      <c r="BB8" s="609"/>
      <c r="BC8" s="322">
        <v>1979</v>
      </c>
      <c r="BD8" s="440">
        <v>38698</v>
      </c>
      <c r="BE8" s="124">
        <v>38715</v>
      </c>
      <c r="BF8" s="132" t="s">
        <v>255</v>
      </c>
      <c r="BG8" s="132" t="s">
        <v>256</v>
      </c>
      <c r="BH8" s="123">
        <f t="shared" si="24"/>
        <v>18013799.2</v>
      </c>
      <c r="BI8" s="133">
        <v>38293</v>
      </c>
      <c r="BJ8" s="133" t="s">
        <v>99</v>
      </c>
      <c r="BK8" s="133" t="s">
        <v>1301</v>
      </c>
      <c r="BL8" s="134">
        <v>38972</v>
      </c>
      <c r="BM8" s="134">
        <v>38887</v>
      </c>
      <c r="BN8" s="134">
        <v>38791</v>
      </c>
      <c r="BO8" s="120">
        <v>18</v>
      </c>
      <c r="BP8" s="124">
        <v>39979</v>
      </c>
      <c r="BQ8" s="135">
        <f t="shared" si="25"/>
        <v>122256</v>
      </c>
      <c r="BR8" s="135">
        <f t="shared" si="26"/>
        <v>103917.59999999999</v>
      </c>
      <c r="BS8" s="135">
        <f t="shared" si="27"/>
        <v>18338.399999999998</v>
      </c>
      <c r="BT8" s="120">
        <v>230</v>
      </c>
      <c r="BU8" s="124">
        <v>38993</v>
      </c>
      <c r="BV8" s="120">
        <v>2005</v>
      </c>
      <c r="BW8" s="120">
        <v>2005</v>
      </c>
      <c r="BX8" s="121"/>
      <c r="BY8" s="163" t="s">
        <v>618</v>
      </c>
      <c r="BZ8" s="124">
        <v>39009</v>
      </c>
      <c r="CA8" s="123">
        <f>103917.6+18338.4</f>
        <v>122256</v>
      </c>
      <c r="CB8" s="122">
        <v>150181.47</v>
      </c>
      <c r="CC8" s="167">
        <v>39771</v>
      </c>
      <c r="CD8" s="143">
        <f t="shared" si="5"/>
        <v>120145.176</v>
      </c>
      <c r="CE8" s="143">
        <f>+CD8*0.85</f>
        <v>102123.3996</v>
      </c>
      <c r="CF8" s="143">
        <f>+CD8*0.15</f>
        <v>18021.7764</v>
      </c>
      <c r="CG8" s="125">
        <v>603</v>
      </c>
      <c r="CH8" s="124">
        <v>39780</v>
      </c>
      <c r="CI8" s="143" t="s">
        <v>309</v>
      </c>
      <c r="CJ8" s="167">
        <v>39825</v>
      </c>
      <c r="CK8" s="123">
        <f>+CD8</f>
        <v>120145.176</v>
      </c>
      <c r="CL8" s="123">
        <v>166199.99</v>
      </c>
      <c r="CM8" s="124"/>
      <c r="CN8" s="327">
        <v>78822.856</v>
      </c>
      <c r="CO8" s="327">
        <f>+CN8*0.85</f>
        <v>66999.4276</v>
      </c>
      <c r="CP8" s="327">
        <f>+CN8*0.15</f>
        <v>11823.428399999999</v>
      </c>
      <c r="CQ8" s="125">
        <v>360</v>
      </c>
      <c r="CR8" s="124">
        <v>39975</v>
      </c>
      <c r="CS8" s="143" t="s">
        <v>517</v>
      </c>
      <c r="CT8" s="124">
        <v>39989</v>
      </c>
      <c r="CU8" s="122">
        <f>CN8</f>
        <v>78822.856</v>
      </c>
      <c r="CV8" s="122">
        <v>130883.13</v>
      </c>
      <c r="CW8" s="335">
        <v>40001</v>
      </c>
      <c r="CX8" s="123">
        <v>0</v>
      </c>
      <c r="CY8" s="123">
        <v>0</v>
      </c>
      <c r="CZ8" s="123">
        <v>0</v>
      </c>
      <c r="DA8" s="125"/>
      <c r="DB8" s="124"/>
      <c r="DC8" s="123"/>
      <c r="DD8" s="124"/>
      <c r="DE8" s="123">
        <v>0</v>
      </c>
      <c r="DF8" s="123"/>
      <c r="DH8" s="124"/>
      <c r="DI8" s="123"/>
      <c r="DJ8" s="123"/>
      <c r="DK8" s="125"/>
      <c r="DL8" s="124"/>
      <c r="DM8" s="123"/>
      <c r="DN8" s="124"/>
      <c r="DO8" s="123"/>
      <c r="DP8" s="123"/>
      <c r="DQ8" s="124"/>
      <c r="DR8" s="123"/>
      <c r="DS8" s="123"/>
      <c r="DT8" s="123"/>
      <c r="DU8" s="125"/>
      <c r="DV8" s="124"/>
      <c r="DW8" s="123"/>
      <c r="DX8" s="124"/>
      <c r="DY8" s="123"/>
      <c r="DZ8" s="123"/>
      <c r="EA8" s="124"/>
      <c r="EB8" s="123"/>
      <c r="EC8" s="123"/>
      <c r="ED8" s="123"/>
      <c r="EE8" s="125"/>
      <c r="EF8" s="124"/>
      <c r="EG8" s="123"/>
      <c r="EH8" s="124"/>
      <c r="EI8" s="123"/>
      <c r="EJ8" s="123"/>
      <c r="EK8" s="124"/>
      <c r="EL8" s="123"/>
      <c r="EM8" s="123"/>
      <c r="EN8" s="123"/>
      <c r="EO8" s="125"/>
      <c r="EP8" s="124"/>
      <c r="EQ8" s="123"/>
      <c r="ER8" s="123"/>
      <c r="ES8" s="123"/>
      <c r="ET8" s="123"/>
      <c r="EU8" s="124"/>
      <c r="EV8" s="123"/>
      <c r="EW8" s="123"/>
      <c r="EX8" s="123"/>
      <c r="EY8" s="123"/>
      <c r="EZ8" s="123"/>
      <c r="FA8" s="123"/>
      <c r="FB8" s="123"/>
      <c r="FC8" s="123"/>
      <c r="FD8" s="155">
        <f t="shared" si="6"/>
        <v>321224.032</v>
      </c>
      <c r="FE8" s="388">
        <f t="shared" si="7"/>
        <v>198968.032</v>
      </c>
      <c r="FF8" s="155">
        <f t="shared" si="8"/>
        <v>122256</v>
      </c>
      <c r="FG8" s="135">
        <f t="shared" si="9"/>
        <v>422663.2</v>
      </c>
      <c r="FH8" s="147">
        <f t="shared" si="10"/>
        <v>447264.58999999997</v>
      </c>
      <c r="FI8" s="151">
        <f t="shared" si="28"/>
        <v>-24601.389999999956</v>
      </c>
      <c r="FJ8" s="586">
        <f t="shared" si="29"/>
        <v>1.058205658784583</v>
      </c>
      <c r="FK8" s="135">
        <f t="shared" si="30"/>
        <v>338130.56</v>
      </c>
      <c r="FL8" s="135">
        <f t="shared" si="31"/>
        <v>122256</v>
      </c>
      <c r="FM8" s="135">
        <f t="shared" si="11"/>
        <v>198968.032</v>
      </c>
      <c r="FN8" s="401">
        <f t="shared" si="32"/>
        <v>0.9500000000000001</v>
      </c>
      <c r="FO8" s="135">
        <f t="shared" si="12"/>
        <v>321224.032</v>
      </c>
      <c r="FP8" s="135">
        <f t="shared" si="33"/>
        <v>16906.52799999999</v>
      </c>
      <c r="FQ8" s="148">
        <f t="shared" si="34"/>
        <v>0.5884355202913336</v>
      </c>
      <c r="FR8" s="117"/>
      <c r="FS8" s="127" t="s">
        <v>591</v>
      </c>
      <c r="FT8" s="135" t="s">
        <v>1337</v>
      </c>
      <c r="FU8" s="135"/>
    </row>
    <row r="9" spans="1:177" s="127" customFormat="1" ht="12.75" customHeight="1">
      <c r="A9" s="597" t="s">
        <v>186</v>
      </c>
      <c r="B9" s="120">
        <f t="shared" si="14"/>
        <v>7</v>
      </c>
      <c r="C9" s="120"/>
      <c r="D9" s="120">
        <v>7</v>
      </c>
      <c r="E9" s="121" t="s">
        <v>1178</v>
      </c>
      <c r="F9" s="121" t="s">
        <v>1190</v>
      </c>
      <c r="G9" s="121" t="s">
        <v>97</v>
      </c>
      <c r="H9" s="122">
        <v>2500000</v>
      </c>
      <c r="I9" s="123" t="s">
        <v>1168</v>
      </c>
      <c r="J9" s="123" t="str">
        <f t="shared" si="1"/>
        <v>è</v>
      </c>
      <c r="K9" s="122">
        <v>0</v>
      </c>
      <c r="L9" s="122"/>
      <c r="M9" s="122">
        <f t="shared" si="15"/>
        <v>2500000</v>
      </c>
      <c r="N9" s="122">
        <f>+M9-O9</f>
        <v>2489793.02</v>
      </c>
      <c r="O9" s="393">
        <v>10206.98</v>
      </c>
      <c r="P9" s="393">
        <f>+O9*0.8</f>
        <v>8165.584</v>
      </c>
      <c r="Q9" s="122">
        <f t="shared" si="16"/>
        <v>6940.7464</v>
      </c>
      <c r="R9" s="122">
        <f t="shared" si="17"/>
        <v>1224.8375999999998</v>
      </c>
      <c r="S9" s="430" t="s">
        <v>1139</v>
      </c>
      <c r="T9" s="404">
        <f t="shared" si="37"/>
        <v>1991834.416</v>
      </c>
      <c r="U9" s="372">
        <f t="shared" si="18"/>
        <v>2441558.29</v>
      </c>
      <c r="V9" s="122">
        <f t="shared" si="19"/>
        <v>2500000</v>
      </c>
      <c r="W9" s="122">
        <f t="shared" si="20"/>
        <v>1250000</v>
      </c>
      <c r="X9" s="122">
        <f t="shared" si="2"/>
        <v>750000</v>
      </c>
      <c r="Y9" s="155">
        <f t="shared" si="21"/>
        <v>2000000</v>
      </c>
      <c r="Z9" s="122">
        <f t="shared" si="22"/>
        <v>300000</v>
      </c>
      <c r="AA9" s="122">
        <f t="shared" si="35"/>
        <v>1000000</v>
      </c>
      <c r="AB9" s="122">
        <f t="shared" si="36"/>
        <v>700000</v>
      </c>
      <c r="AC9" s="122">
        <f t="shared" si="23"/>
        <v>1700000</v>
      </c>
      <c r="AD9" s="122">
        <f t="shared" si="3"/>
        <v>500000</v>
      </c>
      <c r="AE9" s="122">
        <f t="shared" si="4"/>
        <v>0</v>
      </c>
      <c r="AF9" s="124">
        <v>37776</v>
      </c>
      <c r="AG9" s="143" t="s">
        <v>60</v>
      </c>
      <c r="AH9" s="126">
        <v>38198</v>
      </c>
      <c r="AI9" s="125">
        <v>2829</v>
      </c>
      <c r="AJ9" s="124">
        <v>38205</v>
      </c>
      <c r="AK9" s="125">
        <v>6702</v>
      </c>
      <c r="AL9" s="126"/>
      <c r="AM9" s="120"/>
      <c r="AN9" s="120" t="s">
        <v>1190</v>
      </c>
      <c r="AO9" s="120" t="s">
        <v>17</v>
      </c>
      <c r="AP9" s="127" t="s">
        <v>59</v>
      </c>
      <c r="AQ9" s="120">
        <v>260</v>
      </c>
      <c r="AR9" s="120">
        <v>71030</v>
      </c>
      <c r="AS9" s="121" t="s">
        <v>58</v>
      </c>
      <c r="AT9" s="121" t="s">
        <v>57</v>
      </c>
      <c r="AU9" s="121" t="s">
        <v>56</v>
      </c>
      <c r="AV9" s="150" t="s">
        <v>782</v>
      </c>
      <c r="AW9" s="125">
        <v>82000860716</v>
      </c>
      <c r="AX9" s="129" t="s">
        <v>26</v>
      </c>
      <c r="AY9" s="130" t="s">
        <v>203</v>
      </c>
      <c r="AZ9" s="153" t="s">
        <v>26</v>
      </c>
      <c r="BA9" s="609" t="s">
        <v>1037</v>
      </c>
      <c r="BB9" s="611"/>
      <c r="BC9" s="322">
        <v>1603</v>
      </c>
      <c r="BD9" s="440">
        <v>38618</v>
      </c>
      <c r="BE9" s="124">
        <v>38644</v>
      </c>
      <c r="BF9" s="154">
        <v>2004</v>
      </c>
      <c r="BG9" s="154">
        <v>2004</v>
      </c>
      <c r="BH9" s="123">
        <f t="shared" si="24"/>
        <v>16013799.2</v>
      </c>
      <c r="BI9" s="133">
        <v>38293</v>
      </c>
      <c r="BJ9" s="133" t="s">
        <v>1325</v>
      </c>
      <c r="BK9" s="133" t="s">
        <v>1301</v>
      </c>
      <c r="BL9" s="134">
        <v>38651</v>
      </c>
      <c r="BM9" s="134">
        <v>38640</v>
      </c>
      <c r="BN9" s="134">
        <v>38640</v>
      </c>
      <c r="BO9" s="108">
        <f>24+12.58</f>
        <v>36.58</v>
      </c>
      <c r="BP9" s="124">
        <v>39979</v>
      </c>
      <c r="BQ9" s="135">
        <f t="shared" si="25"/>
        <v>600000</v>
      </c>
      <c r="BR9" s="135">
        <f t="shared" si="26"/>
        <v>510000</v>
      </c>
      <c r="BS9" s="135">
        <f t="shared" si="27"/>
        <v>90000</v>
      </c>
      <c r="BT9" s="120">
        <v>1680</v>
      </c>
      <c r="BU9" s="124">
        <v>38658</v>
      </c>
      <c r="BV9" s="120"/>
      <c r="BW9" s="120"/>
      <c r="BX9" s="120"/>
      <c r="BY9" s="120" t="s">
        <v>247</v>
      </c>
      <c r="BZ9" s="124">
        <v>38672</v>
      </c>
      <c r="CA9" s="123">
        <f>510000+90000</f>
        <v>600000</v>
      </c>
      <c r="CB9" s="396">
        <f>55470+800</f>
        <v>56270</v>
      </c>
      <c r="CC9" s="373">
        <v>39464</v>
      </c>
      <c r="CD9" s="141">
        <f t="shared" si="5"/>
        <v>45016</v>
      </c>
      <c r="CE9" s="141">
        <f>+CD9*0.85</f>
        <v>38263.6</v>
      </c>
      <c r="CF9" s="141">
        <f aca="true" t="shared" si="38" ref="CF9:CF15">+CD9*0.15</f>
        <v>6752.4</v>
      </c>
      <c r="CG9" s="369">
        <v>175</v>
      </c>
      <c r="CH9" s="367">
        <v>39583</v>
      </c>
      <c r="CI9" s="143" t="s">
        <v>446</v>
      </c>
      <c r="CJ9" s="167">
        <v>39618</v>
      </c>
      <c r="CK9" s="111">
        <f>+CD9</f>
        <v>45016</v>
      </c>
      <c r="CL9" s="122">
        <v>396527.2</v>
      </c>
      <c r="CM9" s="124">
        <v>39631</v>
      </c>
      <c r="CN9" s="327">
        <f>+CL9*0.8</f>
        <v>317221.76</v>
      </c>
      <c r="CO9" s="327">
        <f>+CN9*0.85</f>
        <v>269638.496</v>
      </c>
      <c r="CP9" s="327">
        <f>+CN9*0.15</f>
        <v>47583.264</v>
      </c>
      <c r="CQ9" s="125">
        <v>257</v>
      </c>
      <c r="CR9" s="124">
        <v>39644</v>
      </c>
      <c r="CS9" s="143" t="s">
        <v>1118</v>
      </c>
      <c r="CT9" s="124">
        <v>39665</v>
      </c>
      <c r="CU9" s="122">
        <f>CN9</f>
        <v>317221.76</v>
      </c>
      <c r="CV9" s="122">
        <v>542124.24</v>
      </c>
      <c r="CW9" s="124">
        <v>39742</v>
      </c>
      <c r="CX9" s="327">
        <f>+CV9*0.8</f>
        <v>433699.392</v>
      </c>
      <c r="CY9" s="327">
        <f aca="true" t="shared" si="39" ref="CY9:CY15">+CX9*0.85</f>
        <v>368644.48319999996</v>
      </c>
      <c r="CZ9" s="327">
        <f aca="true" t="shared" si="40" ref="CZ9:CZ15">+CX9*0.15</f>
        <v>65054.9088</v>
      </c>
      <c r="DA9" s="125">
        <v>476</v>
      </c>
      <c r="DB9" s="124">
        <v>39751</v>
      </c>
      <c r="DC9" s="143" t="s">
        <v>1093</v>
      </c>
      <c r="DD9" s="124">
        <v>39766</v>
      </c>
      <c r="DE9" s="123">
        <f aca="true" t="shared" si="41" ref="DE9:DE15">CX9</f>
        <v>433699.392</v>
      </c>
      <c r="DF9" s="123">
        <v>50788.72</v>
      </c>
      <c r="DG9" s="124"/>
      <c r="DH9" s="327">
        <f>+DF9*0.8</f>
        <v>40630.976</v>
      </c>
      <c r="DI9" s="327">
        <f aca="true" t="shared" si="42" ref="DI9:DI15">+DH9*0.85</f>
        <v>34536.329600000005</v>
      </c>
      <c r="DJ9" s="327">
        <f>+DH9*0.15</f>
        <v>6094.6464000000005</v>
      </c>
      <c r="DK9" s="125">
        <v>579</v>
      </c>
      <c r="DL9" s="124">
        <v>39776</v>
      </c>
      <c r="DM9" s="143" t="s">
        <v>232</v>
      </c>
      <c r="DN9" s="124">
        <v>39786</v>
      </c>
      <c r="DO9" s="123">
        <f>+DH9</f>
        <v>40630.976</v>
      </c>
      <c r="DP9" s="123">
        <v>152403</v>
      </c>
      <c r="DQ9" s="124">
        <v>39786</v>
      </c>
      <c r="DR9" s="123">
        <f>+DP9*0.8</f>
        <v>121922.40000000001</v>
      </c>
      <c r="DS9" s="327">
        <f>+DR9*0.85</f>
        <v>103634.04000000001</v>
      </c>
      <c r="DT9" s="327">
        <f>+DR9*0.15</f>
        <v>18288.36</v>
      </c>
      <c r="DU9" s="125">
        <v>258</v>
      </c>
      <c r="DV9" s="124">
        <v>39933</v>
      </c>
      <c r="DW9" s="143" t="s">
        <v>518</v>
      </c>
      <c r="DX9" s="124">
        <v>39958</v>
      </c>
      <c r="DY9" s="139">
        <f aca="true" t="shared" si="43" ref="DY9:DY15">+DR9</f>
        <v>121922.40000000001</v>
      </c>
      <c r="DZ9" s="123">
        <f>337540.8-800</f>
        <v>336740.8</v>
      </c>
      <c r="EA9" s="124"/>
      <c r="EB9" s="123">
        <f>+DZ9*0.8</f>
        <v>269392.64</v>
      </c>
      <c r="EC9" s="168">
        <f>+EB9*0.85</f>
        <v>228983.744</v>
      </c>
      <c r="ED9" s="168">
        <f>+EB9*0.15</f>
        <v>40408.896</v>
      </c>
      <c r="EE9" s="125">
        <v>312</v>
      </c>
      <c r="EF9" s="124">
        <v>39952</v>
      </c>
      <c r="EG9" s="143" t="s">
        <v>368</v>
      </c>
      <c r="EH9" s="124">
        <v>39961</v>
      </c>
      <c r="EI9" s="168">
        <f>+EB9</f>
        <v>269392.64</v>
      </c>
      <c r="EJ9" s="168">
        <f>50000+37080</f>
        <v>87080</v>
      </c>
      <c r="EK9" s="487">
        <v>39955</v>
      </c>
      <c r="EL9" s="168">
        <v>64999.527199999895</v>
      </c>
      <c r="EM9" s="139">
        <f>+EL9*0.85</f>
        <v>55249.59811999991</v>
      </c>
      <c r="EN9" s="139">
        <f>+EL9*0.15</f>
        <v>9749.929079999984</v>
      </c>
      <c r="EO9" s="125">
        <v>358</v>
      </c>
      <c r="EP9" s="124">
        <v>39975</v>
      </c>
      <c r="EQ9" s="143" t="s">
        <v>369</v>
      </c>
      <c r="ER9" s="137">
        <v>39989</v>
      </c>
      <c r="ES9" s="139">
        <f>+EL9</f>
        <v>64999.527199999895</v>
      </c>
      <c r="ET9" s="139">
        <f>347567.17+456293.77+15763.39</f>
        <v>819624.33</v>
      </c>
      <c r="EU9" s="335">
        <v>40002</v>
      </c>
      <c r="EV9" s="139">
        <v>0</v>
      </c>
      <c r="EW9" s="139">
        <v>0</v>
      </c>
      <c r="EX9" s="139"/>
      <c r="EY9" s="139"/>
      <c r="EZ9" s="139"/>
      <c r="FA9" s="139"/>
      <c r="FB9" s="139"/>
      <c r="FC9" s="139">
        <v>0</v>
      </c>
      <c r="FD9" s="388">
        <f t="shared" si="6"/>
        <v>1892882.6952</v>
      </c>
      <c r="FE9" s="388">
        <f t="shared" si="7"/>
        <v>1292882.6952</v>
      </c>
      <c r="FF9" s="159">
        <f t="shared" si="8"/>
        <v>600000</v>
      </c>
      <c r="FG9" s="147">
        <f t="shared" si="9"/>
        <v>2489793.02</v>
      </c>
      <c r="FH9" s="147">
        <f t="shared" si="10"/>
        <v>2441558.29</v>
      </c>
      <c r="FI9" s="145">
        <f t="shared" si="28"/>
        <v>48234.72999999998</v>
      </c>
      <c r="FJ9" s="586">
        <f t="shared" si="29"/>
        <v>0.9806270121200678</v>
      </c>
      <c r="FK9" s="147">
        <f t="shared" si="30"/>
        <v>1991834.416</v>
      </c>
      <c r="FL9" s="147">
        <f t="shared" si="31"/>
        <v>600000</v>
      </c>
      <c r="FM9" s="135">
        <f>+CX9+CN9+CD9+DH9+DR9+EB9+EL9+EV9</f>
        <v>1292882.6952</v>
      </c>
      <c r="FN9" s="379">
        <f t="shared" si="32"/>
        <v>0.9503213118494485</v>
      </c>
      <c r="FO9" s="135">
        <f>+DH9+CX9+CN9+CD9+BQ9+DR9+EB9+EL9+EV9</f>
        <v>1892882.6952</v>
      </c>
      <c r="FP9" s="147">
        <f t="shared" si="33"/>
        <v>98951.72080000001</v>
      </c>
      <c r="FQ9" s="423">
        <f t="shared" si="34"/>
        <v>0.6490914529915423</v>
      </c>
      <c r="FR9" s="117">
        <f t="shared" si="13"/>
        <v>48234.72999999998</v>
      </c>
      <c r="FS9" s="492" t="s">
        <v>415</v>
      </c>
      <c r="FT9" s="135" t="s">
        <v>1337</v>
      </c>
      <c r="FU9" s="230"/>
    </row>
    <row r="10" spans="1:177" s="127" customFormat="1" ht="12.75" customHeight="1">
      <c r="A10" s="597" t="s">
        <v>187</v>
      </c>
      <c r="B10" s="120">
        <f t="shared" si="14"/>
        <v>8</v>
      </c>
      <c r="C10" s="120"/>
      <c r="D10" s="120">
        <v>8</v>
      </c>
      <c r="E10" s="121" t="s">
        <v>1319</v>
      </c>
      <c r="F10" s="121" t="s">
        <v>1184</v>
      </c>
      <c r="G10" s="121" t="s">
        <v>249</v>
      </c>
      <c r="H10" s="122">
        <v>2499844.8</v>
      </c>
      <c r="I10" s="123" t="s">
        <v>1168</v>
      </c>
      <c r="J10" s="123" t="str">
        <f t="shared" si="1"/>
        <v>è</v>
      </c>
      <c r="K10" s="122">
        <v>0</v>
      </c>
      <c r="L10" s="122"/>
      <c r="M10" s="122">
        <f t="shared" si="15"/>
        <v>2499844.8</v>
      </c>
      <c r="N10" s="122">
        <v>2350000</v>
      </c>
      <c r="O10" s="122">
        <f>+M10-N10</f>
        <v>149844.7999999998</v>
      </c>
      <c r="P10" s="393">
        <f>+O10*0.8</f>
        <v>119875.83999999985</v>
      </c>
      <c r="Q10" s="122">
        <f t="shared" si="16"/>
        <v>101894.46399999988</v>
      </c>
      <c r="R10" s="122">
        <f>+P10*0.15</f>
        <v>17981.37599999998</v>
      </c>
      <c r="S10" s="110" t="s">
        <v>347</v>
      </c>
      <c r="T10" s="404">
        <f t="shared" si="37"/>
        <v>1880000</v>
      </c>
      <c r="U10" s="372">
        <f t="shared" si="18"/>
        <v>2336040.69</v>
      </c>
      <c r="V10" s="122">
        <f t="shared" si="19"/>
        <v>2499844.8</v>
      </c>
      <c r="W10" s="122">
        <f t="shared" si="20"/>
        <v>1249922.4</v>
      </c>
      <c r="X10" s="122">
        <f t="shared" si="2"/>
        <v>749953.44</v>
      </c>
      <c r="Y10" s="155">
        <f t="shared" si="21"/>
        <v>1999875.8399999999</v>
      </c>
      <c r="Z10" s="122">
        <f t="shared" si="22"/>
        <v>299981.376</v>
      </c>
      <c r="AA10" s="122">
        <f t="shared" si="35"/>
        <v>999937.9199999999</v>
      </c>
      <c r="AB10" s="122">
        <f t="shared" si="36"/>
        <v>699956.5439999999</v>
      </c>
      <c r="AC10" s="122">
        <f t="shared" si="23"/>
        <v>1699894.464</v>
      </c>
      <c r="AD10" s="122">
        <f t="shared" si="3"/>
        <v>499968.95999999996</v>
      </c>
      <c r="AE10" s="122">
        <f t="shared" si="4"/>
        <v>0</v>
      </c>
      <c r="AF10" s="124">
        <v>38331</v>
      </c>
      <c r="AG10" s="143" t="s">
        <v>105</v>
      </c>
      <c r="AH10" s="126">
        <v>38309</v>
      </c>
      <c r="AI10" s="143" t="s">
        <v>105</v>
      </c>
      <c r="AJ10" s="124">
        <v>38331</v>
      </c>
      <c r="AK10" s="125">
        <v>9176</v>
      </c>
      <c r="AL10" s="126"/>
      <c r="AM10" s="120"/>
      <c r="AN10" s="120" t="s">
        <v>1184</v>
      </c>
      <c r="AO10" s="120" t="s">
        <v>15</v>
      </c>
      <c r="AP10" s="127" t="s">
        <v>263</v>
      </c>
      <c r="AQ10" s="120">
        <v>143</v>
      </c>
      <c r="AR10" s="120">
        <v>70122</v>
      </c>
      <c r="AS10" s="121" t="s">
        <v>1036</v>
      </c>
      <c r="AT10" s="121" t="s">
        <v>227</v>
      </c>
      <c r="AU10" s="121" t="s">
        <v>226</v>
      </c>
      <c r="AV10" s="150" t="s">
        <v>1035</v>
      </c>
      <c r="AW10" s="125">
        <v>80015010723</v>
      </c>
      <c r="AX10" s="129" t="s">
        <v>26</v>
      </c>
      <c r="AY10" s="130" t="s">
        <v>261</v>
      </c>
      <c r="AZ10" s="130" t="s">
        <v>262</v>
      </c>
      <c r="BA10" s="609" t="s">
        <v>1238</v>
      </c>
      <c r="BB10" s="611"/>
      <c r="BC10" s="438">
        <v>1605</v>
      </c>
      <c r="BD10" s="439">
        <v>38618</v>
      </c>
      <c r="BE10" s="124">
        <v>38644</v>
      </c>
      <c r="BF10" s="154">
        <v>2004</v>
      </c>
      <c r="BG10" s="154">
        <v>2004</v>
      </c>
      <c r="BH10" s="123">
        <f t="shared" si="24"/>
        <v>14013923.36</v>
      </c>
      <c r="BJ10" s="133" t="s">
        <v>1325</v>
      </c>
      <c r="BK10" s="127" t="s">
        <v>1301</v>
      </c>
      <c r="BL10" s="134">
        <v>38814</v>
      </c>
      <c r="BM10" s="134">
        <v>38797</v>
      </c>
      <c r="BN10" s="134">
        <v>38701</v>
      </c>
      <c r="BO10" s="108">
        <f>18+9+6.55+1.01</f>
        <v>34.559999999999995</v>
      </c>
      <c r="BP10" s="124">
        <v>39979</v>
      </c>
      <c r="BQ10" s="135">
        <f t="shared" si="25"/>
        <v>599962.752</v>
      </c>
      <c r="BR10" s="135">
        <f t="shared" si="26"/>
        <v>509968.33919999993</v>
      </c>
      <c r="BS10" s="135">
        <f t="shared" si="27"/>
        <v>89994.41279999999</v>
      </c>
      <c r="BT10" s="136">
        <v>268</v>
      </c>
      <c r="BU10" s="137">
        <v>38825</v>
      </c>
      <c r="BV10" s="136">
        <v>2004</v>
      </c>
      <c r="BW10" s="136">
        <v>2004</v>
      </c>
      <c r="BX10" s="136"/>
      <c r="BY10" s="156" t="s">
        <v>330</v>
      </c>
      <c r="BZ10" s="137">
        <v>38848</v>
      </c>
      <c r="CA10" s="139">
        <f>509968.34+89994.41</f>
        <v>599962.75</v>
      </c>
      <c r="CB10" s="168">
        <v>19600</v>
      </c>
      <c r="CC10" s="140"/>
      <c r="CD10" s="141">
        <f t="shared" si="5"/>
        <v>15680</v>
      </c>
      <c r="CE10" s="141">
        <f aca="true" t="shared" si="44" ref="CE10:CE15">+CD10*0.85</f>
        <v>13328</v>
      </c>
      <c r="CF10" s="141">
        <f t="shared" si="38"/>
        <v>2352</v>
      </c>
      <c r="CG10" s="157">
        <v>35</v>
      </c>
      <c r="CH10" s="137">
        <v>39128</v>
      </c>
      <c r="CI10" s="141" t="s">
        <v>649</v>
      </c>
      <c r="CJ10" s="140">
        <v>39147</v>
      </c>
      <c r="CK10" s="139">
        <f>13328+2352</f>
        <v>15680</v>
      </c>
      <c r="CL10" s="122">
        <v>7350</v>
      </c>
      <c r="CM10" s="452">
        <v>39097</v>
      </c>
      <c r="CN10" s="327">
        <f>+CL10*0.8</f>
        <v>5880</v>
      </c>
      <c r="CO10" s="327">
        <f>+CN10*0.85</f>
        <v>4998</v>
      </c>
      <c r="CP10" s="327">
        <f>+CN10*0.15</f>
        <v>882</v>
      </c>
      <c r="CQ10" s="125">
        <v>31</v>
      </c>
      <c r="CR10" s="124">
        <v>39128</v>
      </c>
      <c r="CS10" s="143" t="s">
        <v>650</v>
      </c>
      <c r="CT10" s="124">
        <v>39149</v>
      </c>
      <c r="CU10" s="122">
        <f>4998+882</f>
        <v>5880</v>
      </c>
      <c r="CV10" s="591">
        <v>285072.43</v>
      </c>
      <c r="CW10" s="124">
        <v>39519</v>
      </c>
      <c r="CX10" s="327">
        <f>+CV10*0.8</f>
        <v>228057.94400000002</v>
      </c>
      <c r="CY10" s="327">
        <f t="shared" si="39"/>
        <v>193849.2524</v>
      </c>
      <c r="CZ10" s="327">
        <f t="shared" si="40"/>
        <v>34208.6916</v>
      </c>
      <c r="DA10" s="125">
        <v>131</v>
      </c>
      <c r="DB10" s="124">
        <v>39555</v>
      </c>
      <c r="DC10" s="143" t="s">
        <v>1083</v>
      </c>
      <c r="DD10" s="124">
        <v>39555</v>
      </c>
      <c r="DE10" s="123">
        <f t="shared" si="41"/>
        <v>228057.94400000002</v>
      </c>
      <c r="DF10" s="123">
        <f>605752.7+1633.33</f>
        <v>607386.0299999999</v>
      </c>
      <c r="DG10" s="124">
        <v>39654</v>
      </c>
      <c r="DH10" s="327">
        <f>+DF10*0.8</f>
        <v>485908.82399999996</v>
      </c>
      <c r="DI10" s="327">
        <f t="shared" si="42"/>
        <v>413022.50039999996</v>
      </c>
      <c r="DJ10" s="327">
        <f>+DH10*0.15</f>
        <v>72886.32359999999</v>
      </c>
      <c r="DK10" s="125">
        <v>389</v>
      </c>
      <c r="DL10" s="124">
        <v>39721</v>
      </c>
      <c r="DM10" s="143" t="s">
        <v>1083</v>
      </c>
      <c r="DN10" s="124">
        <v>39721</v>
      </c>
      <c r="DO10" s="123">
        <f>+DH10</f>
        <v>485908.82399999996</v>
      </c>
      <c r="DP10" s="266">
        <v>23576.13</v>
      </c>
      <c r="DQ10" s="124">
        <v>39751</v>
      </c>
      <c r="DR10" s="327">
        <v>12980.904000000006</v>
      </c>
      <c r="DS10" s="327">
        <f>+DR10*0.85</f>
        <v>11033.768400000004</v>
      </c>
      <c r="DT10" s="327">
        <f>+DR10*0.15</f>
        <v>1947.1356000000007</v>
      </c>
      <c r="DU10" s="125">
        <v>533</v>
      </c>
      <c r="DV10" s="137">
        <v>39765</v>
      </c>
      <c r="DW10" s="143" t="s">
        <v>312</v>
      </c>
      <c r="DX10" s="137">
        <v>39784</v>
      </c>
      <c r="DY10" s="139">
        <f t="shared" si="43"/>
        <v>12980.904000000006</v>
      </c>
      <c r="DZ10" s="139">
        <f>448919.05-7350</f>
        <v>441569.05</v>
      </c>
      <c r="EA10" s="137">
        <v>39793</v>
      </c>
      <c r="EB10" s="168">
        <f>448919.05*0.8</f>
        <v>359135.24</v>
      </c>
      <c r="EC10" s="168">
        <f>+EB10*0.85</f>
        <v>305264.95399999997</v>
      </c>
      <c r="ED10" s="168">
        <f>+EB10*0.15</f>
        <v>53870.286</v>
      </c>
      <c r="EE10" s="125">
        <v>43</v>
      </c>
      <c r="EF10" s="137">
        <v>39842</v>
      </c>
      <c r="EG10" s="143" t="s">
        <v>361</v>
      </c>
      <c r="EH10" s="137">
        <v>39856</v>
      </c>
      <c r="EI10" s="168">
        <f>+EB10</f>
        <v>359135.24</v>
      </c>
      <c r="EJ10" s="139">
        <v>951487.05</v>
      </c>
      <c r="EK10" s="137">
        <v>40101</v>
      </c>
      <c r="EL10" s="368"/>
      <c r="EM10" s="139">
        <f>+EL10*0.85</f>
        <v>0</v>
      </c>
      <c r="EN10" s="139">
        <f>+EL10*0.15</f>
        <v>0</v>
      </c>
      <c r="EO10" s="157"/>
      <c r="EP10" s="137"/>
      <c r="EQ10" s="139"/>
      <c r="ER10" s="139"/>
      <c r="ES10" s="139">
        <f>+EL10</f>
        <v>0</v>
      </c>
      <c r="ET10" s="139"/>
      <c r="EV10" s="139"/>
      <c r="EW10" s="139"/>
      <c r="EX10" s="139"/>
      <c r="EY10" s="139"/>
      <c r="EZ10" s="139"/>
      <c r="FA10" s="139"/>
      <c r="FB10" s="139"/>
      <c r="FC10" s="139"/>
      <c r="FD10" s="388">
        <f t="shared" si="6"/>
        <v>1707605.6639999999</v>
      </c>
      <c r="FE10" s="388">
        <f t="shared" si="7"/>
        <v>1107642.912</v>
      </c>
      <c r="FF10" s="159">
        <f t="shared" si="8"/>
        <v>599962.752</v>
      </c>
      <c r="FG10" s="147">
        <f t="shared" si="9"/>
        <v>2350000</v>
      </c>
      <c r="FH10" s="147">
        <f aca="true" t="shared" si="45" ref="FH10:FH20">CL10+CB10+DF10+DP10+CV10+DZ10+EJ10+ET10</f>
        <v>2336040.69</v>
      </c>
      <c r="FI10" s="145">
        <f t="shared" si="28"/>
        <v>13959.310000000056</v>
      </c>
      <c r="FJ10" s="421">
        <f t="shared" si="29"/>
        <v>0.9940598680851064</v>
      </c>
      <c r="FK10" s="147">
        <f t="shared" si="30"/>
        <v>1880000</v>
      </c>
      <c r="FL10" s="147">
        <f t="shared" si="31"/>
        <v>599962.752</v>
      </c>
      <c r="FM10" s="135">
        <f aca="true" t="shared" si="46" ref="FM10:FM20">+CX10+CN10+CD10+DH10+DR10+EB10+EL10+EV10</f>
        <v>1107642.912</v>
      </c>
      <c r="FN10" s="401">
        <f t="shared" si="32"/>
        <v>0.9083008851063831</v>
      </c>
      <c r="FO10" s="135">
        <f aca="true" t="shared" si="47" ref="FO10:FO20">+DH10+CX10+CN10+CD10+BQ10+DR10+EB10+EL10+EV10</f>
        <v>1707605.664</v>
      </c>
      <c r="FP10" s="147">
        <f t="shared" si="33"/>
        <v>172394.3359999999</v>
      </c>
      <c r="FQ10" s="423">
        <f t="shared" si="34"/>
        <v>0.5891717617021277</v>
      </c>
      <c r="FR10" s="117">
        <f t="shared" si="13"/>
        <v>13959.310000000056</v>
      </c>
      <c r="FS10" s="491" t="s">
        <v>592</v>
      </c>
      <c r="FT10" s="135">
        <f>+FK10*0.95</f>
        <v>1786000</v>
      </c>
      <c r="FU10" s="135">
        <f>+FT10-FO10</f>
        <v>78394.3359999999</v>
      </c>
    </row>
    <row r="11" spans="1:176" s="127" customFormat="1" ht="12.75" customHeight="1">
      <c r="A11" s="597" t="s">
        <v>182</v>
      </c>
      <c r="B11" s="120">
        <f t="shared" si="14"/>
        <v>9</v>
      </c>
      <c r="C11" s="120"/>
      <c r="D11" s="120">
        <v>9</v>
      </c>
      <c r="E11" s="121" t="s">
        <v>1207</v>
      </c>
      <c r="F11" s="121" t="s">
        <v>1206</v>
      </c>
      <c r="G11" s="121" t="s">
        <v>1414</v>
      </c>
      <c r="H11" s="122">
        <v>1471562</v>
      </c>
      <c r="I11" s="123" t="s">
        <v>1168</v>
      </c>
      <c r="J11" s="123" t="str">
        <f t="shared" si="1"/>
        <v>è</v>
      </c>
      <c r="K11" s="122">
        <v>10000</v>
      </c>
      <c r="L11" s="122"/>
      <c r="M11" s="122">
        <f t="shared" si="15"/>
        <v>1461562</v>
      </c>
      <c r="N11" s="122">
        <v>1394602.42</v>
      </c>
      <c r="O11" s="110">
        <f>+M11-N11</f>
        <v>66959.58000000007</v>
      </c>
      <c r="P11" s="425">
        <f>+O11*0.8</f>
        <v>53567.66400000006</v>
      </c>
      <c r="Q11" s="426">
        <f>+P11*0.85</f>
        <v>45532.51440000005</v>
      </c>
      <c r="R11" s="426">
        <f>+P11*0.15</f>
        <v>8035.149600000009</v>
      </c>
      <c r="S11" s="428" t="s">
        <v>290</v>
      </c>
      <c r="T11" s="404">
        <f t="shared" si="37"/>
        <v>1115681.936</v>
      </c>
      <c r="U11" s="372">
        <f t="shared" si="18"/>
        <v>1334107.2</v>
      </c>
      <c r="V11" s="122">
        <f t="shared" si="19"/>
        <v>1461562</v>
      </c>
      <c r="W11" s="122">
        <f t="shared" si="20"/>
        <v>730781</v>
      </c>
      <c r="X11" s="122">
        <f t="shared" si="2"/>
        <v>438468.6</v>
      </c>
      <c r="Y11" s="155">
        <f t="shared" si="21"/>
        <v>1169249.6</v>
      </c>
      <c r="Z11" s="122">
        <f t="shared" si="22"/>
        <v>175387.44</v>
      </c>
      <c r="AA11" s="122">
        <f t="shared" si="35"/>
        <v>584624.8</v>
      </c>
      <c r="AB11" s="122">
        <f t="shared" si="36"/>
        <v>409237.36</v>
      </c>
      <c r="AC11" s="122">
        <f t="shared" si="23"/>
        <v>993862.16</v>
      </c>
      <c r="AD11" s="122">
        <f t="shared" si="3"/>
        <v>292312.3999999999</v>
      </c>
      <c r="AE11" s="122">
        <f>K11</f>
        <v>10000</v>
      </c>
      <c r="AF11" s="160" t="s">
        <v>1285</v>
      </c>
      <c r="AG11" s="125">
        <v>1491</v>
      </c>
      <c r="AH11" s="126">
        <v>38198</v>
      </c>
      <c r="AI11" s="129" t="s">
        <v>1416</v>
      </c>
      <c r="AJ11" s="124">
        <v>38203</v>
      </c>
      <c r="AK11" s="125">
        <v>6658</v>
      </c>
      <c r="AL11" s="126"/>
      <c r="AM11" s="120"/>
      <c r="AN11" s="120" t="s">
        <v>1206</v>
      </c>
      <c r="AO11" s="120" t="s">
        <v>18</v>
      </c>
      <c r="AP11" s="127" t="s">
        <v>1415</v>
      </c>
      <c r="AQ11" s="120">
        <v>32</v>
      </c>
      <c r="AR11" s="120">
        <v>74015</v>
      </c>
      <c r="AS11" s="121" t="s">
        <v>792</v>
      </c>
      <c r="AT11" s="121" t="s">
        <v>163</v>
      </c>
      <c r="AU11" s="121" t="s">
        <v>1102</v>
      </c>
      <c r="AV11" s="150" t="s">
        <v>196</v>
      </c>
      <c r="AW11" s="129" t="s">
        <v>90</v>
      </c>
      <c r="AX11" s="129" t="s">
        <v>89</v>
      </c>
      <c r="AY11" s="130" t="s">
        <v>121</v>
      </c>
      <c r="AZ11" s="130" t="s">
        <v>122</v>
      </c>
      <c r="BA11" s="609" t="s">
        <v>633</v>
      </c>
      <c r="BB11" s="611"/>
      <c r="BC11" s="438">
        <v>18</v>
      </c>
      <c r="BD11" s="439">
        <v>38376</v>
      </c>
      <c r="BE11" s="124">
        <v>38412</v>
      </c>
      <c r="BF11" s="132" t="s">
        <v>52</v>
      </c>
      <c r="BG11" s="132" t="s">
        <v>53</v>
      </c>
      <c r="BH11" s="123">
        <f t="shared" si="24"/>
        <v>12844673.76</v>
      </c>
      <c r="BI11" s="133">
        <v>38279</v>
      </c>
      <c r="BJ11" s="133" t="s">
        <v>1325</v>
      </c>
      <c r="BK11" s="133" t="s">
        <v>1301</v>
      </c>
      <c r="BL11" s="134">
        <v>38435</v>
      </c>
      <c r="BM11" s="134">
        <v>38516</v>
      </c>
      <c r="BN11" s="134">
        <v>38496</v>
      </c>
      <c r="BO11" s="108">
        <f>18+6+7+6.08+3</f>
        <v>40.08</v>
      </c>
      <c r="BP11" s="124">
        <v>39979</v>
      </c>
      <c r="BQ11" s="135">
        <f t="shared" si="25"/>
        <v>350774.88</v>
      </c>
      <c r="BR11" s="135">
        <f t="shared" si="26"/>
        <v>298158.648</v>
      </c>
      <c r="BS11" s="135">
        <f t="shared" si="27"/>
        <v>52616.231999999996</v>
      </c>
      <c r="BT11" s="136">
        <v>1528</v>
      </c>
      <c r="BU11" s="137">
        <v>38567</v>
      </c>
      <c r="BV11" s="138" t="s">
        <v>52</v>
      </c>
      <c r="BW11" s="138" t="s">
        <v>53</v>
      </c>
      <c r="BX11" s="136">
        <v>8197</v>
      </c>
      <c r="BY11" s="138" t="s">
        <v>160</v>
      </c>
      <c r="BZ11" s="137">
        <v>38610</v>
      </c>
      <c r="CA11" s="139">
        <f>298158.65+52616.23</f>
        <v>350774.88</v>
      </c>
      <c r="CB11" s="168">
        <v>368868.28</v>
      </c>
      <c r="CC11" s="140">
        <v>39053</v>
      </c>
      <c r="CD11" s="141">
        <f t="shared" si="5"/>
        <v>295094.624</v>
      </c>
      <c r="CE11" s="141">
        <f t="shared" si="44"/>
        <v>250830.4304</v>
      </c>
      <c r="CF11" s="141">
        <f t="shared" si="38"/>
        <v>44264.1936</v>
      </c>
      <c r="CG11" s="157">
        <v>298</v>
      </c>
      <c r="CH11" s="137">
        <v>39064</v>
      </c>
      <c r="CI11" s="161" t="s">
        <v>748</v>
      </c>
      <c r="CJ11" s="140">
        <v>39064</v>
      </c>
      <c r="CK11" s="139">
        <f>+CD11</f>
        <v>295094.624</v>
      </c>
      <c r="CL11" s="122">
        <v>271483.22</v>
      </c>
      <c r="CM11" s="134">
        <v>39426</v>
      </c>
      <c r="CN11" s="327">
        <f>+CL11*0.8</f>
        <v>217186.576</v>
      </c>
      <c r="CO11" s="327">
        <f>+CN11*0.85</f>
        <v>184608.5896</v>
      </c>
      <c r="CP11" s="327">
        <f>+CN11*0.15</f>
        <v>32577.986399999998</v>
      </c>
      <c r="CQ11" s="125">
        <v>99</v>
      </c>
      <c r="CR11" s="124">
        <v>39535</v>
      </c>
      <c r="CS11" s="143" t="s">
        <v>438</v>
      </c>
      <c r="CT11" s="124">
        <v>39630</v>
      </c>
      <c r="CU11" s="122">
        <f>CN11</f>
        <v>217186.576</v>
      </c>
      <c r="CV11" s="122">
        <v>193841.82</v>
      </c>
      <c r="CW11" s="124">
        <v>39716</v>
      </c>
      <c r="CX11" s="327">
        <f>+CV11*0.8</f>
        <v>155073.456</v>
      </c>
      <c r="CY11" s="327">
        <f t="shared" si="39"/>
        <v>131812.4376</v>
      </c>
      <c r="CZ11" s="327">
        <f t="shared" si="40"/>
        <v>23261.0184</v>
      </c>
      <c r="DA11" s="125">
        <v>457</v>
      </c>
      <c r="DB11" s="124">
        <v>39748</v>
      </c>
      <c r="DC11" s="143" t="s">
        <v>1094</v>
      </c>
      <c r="DD11" s="124">
        <v>39766</v>
      </c>
      <c r="DE11" s="123">
        <f t="shared" si="41"/>
        <v>155073.456</v>
      </c>
      <c r="DF11" s="123">
        <v>167579.73</v>
      </c>
      <c r="DG11" s="124">
        <v>39839</v>
      </c>
      <c r="DH11" s="327">
        <v>41513.70319999999</v>
      </c>
      <c r="DI11" s="327">
        <f t="shared" si="42"/>
        <v>35286.647719999986</v>
      </c>
      <c r="DJ11" s="327">
        <v>6227.05</v>
      </c>
      <c r="DK11" s="125">
        <v>87</v>
      </c>
      <c r="DL11" s="124">
        <v>39868</v>
      </c>
      <c r="DM11" s="143" t="s">
        <v>381</v>
      </c>
      <c r="DN11" s="124">
        <v>39899</v>
      </c>
      <c r="DO11" s="123">
        <f>+DH11</f>
        <v>41513.70319999999</v>
      </c>
      <c r="DP11" s="123">
        <v>332334.15</v>
      </c>
      <c r="DQ11" s="486"/>
      <c r="DR11" s="123">
        <v>0</v>
      </c>
      <c r="DS11" s="327"/>
      <c r="DT11" s="327"/>
      <c r="DU11" s="125"/>
      <c r="DV11" s="137"/>
      <c r="DW11" s="123"/>
      <c r="DX11" s="137"/>
      <c r="DY11" s="139">
        <f t="shared" si="43"/>
        <v>0</v>
      </c>
      <c r="DZ11" s="139"/>
      <c r="EA11" s="137"/>
      <c r="EB11" s="168"/>
      <c r="EC11" s="168"/>
      <c r="ED11" s="168"/>
      <c r="EE11" s="125"/>
      <c r="EF11" s="137"/>
      <c r="EG11" s="139"/>
      <c r="EH11" s="137"/>
      <c r="EI11" s="139"/>
      <c r="EJ11" s="139"/>
      <c r="EK11" s="137"/>
      <c r="EL11" s="139"/>
      <c r="EM11" s="139"/>
      <c r="EN11" s="139"/>
      <c r="EO11" s="157"/>
      <c r="EP11" s="137"/>
      <c r="EQ11" s="139"/>
      <c r="ER11" s="137"/>
      <c r="ES11" s="139"/>
      <c r="ET11" s="139"/>
      <c r="EU11" s="137"/>
      <c r="EV11" s="139"/>
      <c r="EW11" s="139"/>
      <c r="EX11" s="139"/>
      <c r="EY11" s="139"/>
      <c r="EZ11" s="139"/>
      <c r="FA11" s="139"/>
      <c r="FB11" s="139"/>
      <c r="FC11" s="139"/>
      <c r="FD11" s="388">
        <f t="shared" si="6"/>
        <v>1059643.2392</v>
      </c>
      <c r="FE11" s="388">
        <f t="shared" si="7"/>
        <v>708868.3592</v>
      </c>
      <c r="FF11" s="159">
        <f t="shared" si="8"/>
        <v>350774.88</v>
      </c>
      <c r="FG11" s="147">
        <f t="shared" si="9"/>
        <v>1394602.42</v>
      </c>
      <c r="FH11" s="147">
        <f t="shared" si="45"/>
        <v>1334107.2</v>
      </c>
      <c r="FI11" s="145">
        <f t="shared" si="28"/>
        <v>60495.21999999997</v>
      </c>
      <c r="FJ11" s="421">
        <f t="shared" si="29"/>
        <v>0.9566218879786542</v>
      </c>
      <c r="FK11" s="147">
        <f t="shared" si="30"/>
        <v>1115681.936</v>
      </c>
      <c r="FL11" s="147">
        <f t="shared" si="31"/>
        <v>350774.88</v>
      </c>
      <c r="FM11" s="135">
        <f t="shared" si="46"/>
        <v>708868.3592</v>
      </c>
      <c r="FN11" s="418">
        <f t="shared" si="32"/>
        <v>0.9497717987611123</v>
      </c>
      <c r="FO11" s="135">
        <f t="shared" si="47"/>
        <v>1059643.2392000002</v>
      </c>
      <c r="FP11" s="147">
        <f t="shared" si="33"/>
        <v>56038.6967999998</v>
      </c>
      <c r="FQ11" s="423">
        <f t="shared" si="34"/>
        <v>0.6353677838878266</v>
      </c>
      <c r="FR11" s="117">
        <f aca="true" t="shared" si="48" ref="FR11:FR16">+FG11-FH11</f>
        <v>60495.21999999997</v>
      </c>
      <c r="FS11" s="491" t="s">
        <v>593</v>
      </c>
      <c r="FT11" s="135" t="s">
        <v>1337</v>
      </c>
    </row>
    <row r="12" spans="1:178" s="127" customFormat="1" ht="12.75" customHeight="1">
      <c r="A12" s="597" t="s">
        <v>178</v>
      </c>
      <c r="B12" s="120">
        <f t="shared" si="14"/>
        <v>10</v>
      </c>
      <c r="C12" s="120"/>
      <c r="D12" s="120">
        <v>10</v>
      </c>
      <c r="E12" s="121" t="s">
        <v>1304</v>
      </c>
      <c r="F12" s="121" t="s">
        <v>1230</v>
      </c>
      <c r="G12" s="121" t="s">
        <v>120</v>
      </c>
      <c r="H12" s="122">
        <v>1930000</v>
      </c>
      <c r="I12" s="123" t="s">
        <v>1168</v>
      </c>
      <c r="J12" s="123" t="str">
        <f t="shared" si="1"/>
        <v>è</v>
      </c>
      <c r="K12" s="122">
        <v>0</v>
      </c>
      <c r="L12" s="122"/>
      <c r="M12" s="122">
        <f t="shared" si="15"/>
        <v>1930000</v>
      </c>
      <c r="N12" s="155">
        <f>M12-O12</f>
        <v>1475843.7</v>
      </c>
      <c r="O12" s="393">
        <f>273956.3+140000+40200</f>
        <v>454156.3</v>
      </c>
      <c r="P12" s="393">
        <f>+O12*0.8</f>
        <v>363325.04000000004</v>
      </c>
      <c r="Q12" s="122">
        <f>+P12*0.85</f>
        <v>308826.28400000004</v>
      </c>
      <c r="R12" s="122">
        <f>+P12*0.15</f>
        <v>54498.756</v>
      </c>
      <c r="S12" s="430" t="s">
        <v>1140</v>
      </c>
      <c r="T12" s="404">
        <f t="shared" si="37"/>
        <v>1180674.96</v>
      </c>
      <c r="U12" s="155">
        <f t="shared" si="18"/>
        <v>1404322.7000000002</v>
      </c>
      <c r="V12" s="122">
        <f t="shared" si="19"/>
        <v>1930000</v>
      </c>
      <c r="W12" s="122">
        <f t="shared" si="20"/>
        <v>965000</v>
      </c>
      <c r="X12" s="122">
        <f t="shared" si="2"/>
        <v>579000</v>
      </c>
      <c r="Y12" s="155">
        <f t="shared" si="21"/>
        <v>1544000</v>
      </c>
      <c r="Z12" s="122">
        <f t="shared" si="22"/>
        <v>231600</v>
      </c>
      <c r="AA12" s="122">
        <f t="shared" si="35"/>
        <v>772000</v>
      </c>
      <c r="AB12" s="122">
        <f t="shared" si="36"/>
        <v>540400</v>
      </c>
      <c r="AC12" s="122">
        <f t="shared" si="23"/>
        <v>1312400</v>
      </c>
      <c r="AD12" s="122">
        <f t="shared" si="3"/>
        <v>386000</v>
      </c>
      <c r="AE12" s="122">
        <f aca="true" t="shared" si="49" ref="AE12:AE20">K12</f>
        <v>0</v>
      </c>
      <c r="AF12" s="124">
        <v>37642</v>
      </c>
      <c r="AG12" s="143" t="s">
        <v>115</v>
      </c>
      <c r="AH12" s="126">
        <v>38336</v>
      </c>
      <c r="AI12" s="129" t="s">
        <v>116</v>
      </c>
      <c r="AJ12" s="124">
        <v>38356</v>
      </c>
      <c r="AK12" s="129" t="s">
        <v>116</v>
      </c>
      <c r="AL12" s="126"/>
      <c r="AM12" s="120"/>
      <c r="AN12" s="120" t="s">
        <v>1230</v>
      </c>
      <c r="AO12" s="120" t="s">
        <v>18</v>
      </c>
      <c r="AP12" s="127" t="s">
        <v>1300</v>
      </c>
      <c r="AQ12" s="163" t="s">
        <v>26</v>
      </c>
      <c r="AR12" s="120">
        <v>74100</v>
      </c>
      <c r="AS12" s="121" t="s">
        <v>670</v>
      </c>
      <c r="AT12" s="121" t="s">
        <v>671</v>
      </c>
      <c r="AU12" s="121" t="s">
        <v>467</v>
      </c>
      <c r="AV12" s="150" t="s">
        <v>468</v>
      </c>
      <c r="AW12" s="125">
        <v>80008750731</v>
      </c>
      <c r="AX12" s="129" t="s">
        <v>1302</v>
      </c>
      <c r="AY12" s="130" t="s">
        <v>117</v>
      </c>
      <c r="AZ12" s="130" t="s">
        <v>118</v>
      </c>
      <c r="BA12" s="609" t="s">
        <v>786</v>
      </c>
      <c r="BB12" s="611"/>
      <c r="BC12" s="322">
        <v>473</v>
      </c>
      <c r="BD12" s="440">
        <v>38286</v>
      </c>
      <c r="BE12" s="124">
        <v>38316</v>
      </c>
      <c r="BF12" s="132" t="s">
        <v>1409</v>
      </c>
      <c r="BG12" s="132" t="s">
        <v>1410</v>
      </c>
      <c r="BH12" s="123">
        <f t="shared" si="24"/>
        <v>11300673.76</v>
      </c>
      <c r="BJ12" s="133" t="s">
        <v>1325</v>
      </c>
      <c r="BK12" s="127" t="s">
        <v>1301</v>
      </c>
      <c r="BL12" s="134">
        <v>38376</v>
      </c>
      <c r="BM12" s="134">
        <v>38469</v>
      </c>
      <c r="BN12" s="134">
        <v>38376</v>
      </c>
      <c r="BO12" s="120">
        <f>18+12+11+3.05+1.2</f>
        <v>45.25</v>
      </c>
      <c r="BP12" s="124">
        <f>BN12+(BO12*365/12)</f>
        <v>39752.354166666664</v>
      </c>
      <c r="BQ12" s="135">
        <f t="shared" si="25"/>
        <v>463200</v>
      </c>
      <c r="BR12" s="135">
        <f t="shared" si="26"/>
        <v>393720</v>
      </c>
      <c r="BS12" s="135">
        <f t="shared" si="27"/>
        <v>69480</v>
      </c>
      <c r="BT12" s="120">
        <v>1529</v>
      </c>
      <c r="BU12" s="124">
        <v>38567</v>
      </c>
      <c r="BV12" s="163" t="s">
        <v>1409</v>
      </c>
      <c r="BW12" s="163" t="s">
        <v>1410</v>
      </c>
      <c r="BX12" s="120">
        <v>8196</v>
      </c>
      <c r="BY12" s="163" t="s">
        <v>157</v>
      </c>
      <c r="BZ12" s="124">
        <v>38610</v>
      </c>
      <c r="CA12" s="123">
        <f>393720+69480</f>
        <v>463200</v>
      </c>
      <c r="CB12" s="122">
        <v>403599.74</v>
      </c>
      <c r="CC12" s="167">
        <v>39436</v>
      </c>
      <c r="CD12" s="143">
        <f t="shared" si="5"/>
        <v>322879.792</v>
      </c>
      <c r="CE12" s="143">
        <f t="shared" si="44"/>
        <v>274447.8232</v>
      </c>
      <c r="CF12" s="143">
        <f t="shared" si="38"/>
        <v>48431.9688</v>
      </c>
      <c r="CG12" s="125">
        <v>36</v>
      </c>
      <c r="CH12" s="124">
        <v>39489</v>
      </c>
      <c r="CI12" s="143" t="s">
        <v>1006</v>
      </c>
      <c r="CJ12" s="167">
        <v>39506</v>
      </c>
      <c r="CK12" s="123">
        <f>+CD12</f>
        <v>322879.792</v>
      </c>
      <c r="CL12" s="122">
        <v>113078.83</v>
      </c>
      <c r="CM12" s="452">
        <v>39638</v>
      </c>
      <c r="CN12" s="327">
        <f>+CL12*0.8</f>
        <v>90463.06400000001</v>
      </c>
      <c r="CO12" s="327">
        <f>+CN12*0.85</f>
        <v>76893.60440000001</v>
      </c>
      <c r="CP12" s="327">
        <f>+CN12*0.15</f>
        <v>13569.459600000002</v>
      </c>
      <c r="CQ12" s="125">
        <v>388</v>
      </c>
      <c r="CR12" s="124">
        <v>39721</v>
      </c>
      <c r="CS12" s="143" t="s">
        <v>1083</v>
      </c>
      <c r="CT12" s="124">
        <v>39721</v>
      </c>
      <c r="CU12" s="122">
        <f>CN12</f>
        <v>90463.06400000001</v>
      </c>
      <c r="CV12" s="135">
        <v>430374.96</v>
      </c>
      <c r="CW12" s="134">
        <v>39783</v>
      </c>
      <c r="CX12" s="327">
        <v>245098.3559999998</v>
      </c>
      <c r="CY12" s="327">
        <f t="shared" si="39"/>
        <v>208333.6025999998</v>
      </c>
      <c r="CZ12" s="327">
        <f t="shared" si="40"/>
        <v>36764.753399999965</v>
      </c>
      <c r="DA12" s="120">
        <v>39</v>
      </c>
      <c r="DB12" s="124">
        <v>39840</v>
      </c>
      <c r="DC12" s="327" t="s">
        <v>306</v>
      </c>
      <c r="DD12" s="124">
        <v>39856</v>
      </c>
      <c r="DE12" s="123">
        <f t="shared" si="41"/>
        <v>245098.3559999998</v>
      </c>
      <c r="DF12" s="123">
        <f>294082.01+32760+25140+51480+22060+664.5</f>
        <v>426186.51</v>
      </c>
      <c r="DG12" s="124">
        <v>39947</v>
      </c>
      <c r="DH12" s="327">
        <v>0</v>
      </c>
      <c r="DI12" s="327">
        <f t="shared" si="42"/>
        <v>0</v>
      </c>
      <c r="DJ12" s="123"/>
      <c r="DK12" s="125"/>
      <c r="DL12" s="110"/>
      <c r="DN12" s="124"/>
      <c r="DO12" s="123">
        <v>0</v>
      </c>
      <c r="DP12" s="123">
        <f>31118.66-36</f>
        <v>31082.66</v>
      </c>
      <c r="DQ12" s="124">
        <v>40007</v>
      </c>
      <c r="DR12" s="123">
        <v>0</v>
      </c>
      <c r="DS12" s="123"/>
      <c r="DT12" s="123"/>
      <c r="DU12" s="125"/>
      <c r="DV12" s="124"/>
      <c r="DW12" s="123"/>
      <c r="DX12" s="124"/>
      <c r="DY12" s="139">
        <f t="shared" si="43"/>
        <v>0</v>
      </c>
      <c r="DZ12" s="123"/>
      <c r="EA12" s="124"/>
      <c r="EB12" s="122"/>
      <c r="EC12" s="122"/>
      <c r="ED12" s="122"/>
      <c r="EE12" s="125"/>
      <c r="EF12" s="124"/>
      <c r="EG12" s="123"/>
      <c r="EH12" s="124"/>
      <c r="EI12" s="123"/>
      <c r="EJ12" s="123"/>
      <c r="EK12" s="124"/>
      <c r="EL12" s="123"/>
      <c r="EM12" s="123"/>
      <c r="EN12" s="123"/>
      <c r="EO12" s="125"/>
      <c r="EP12" s="124"/>
      <c r="EQ12" s="123"/>
      <c r="ER12" s="124"/>
      <c r="ES12" s="123"/>
      <c r="ET12" s="123"/>
      <c r="EU12" s="124"/>
      <c r="EV12" s="123"/>
      <c r="EW12" s="123"/>
      <c r="EX12" s="123"/>
      <c r="EY12" s="123"/>
      <c r="EZ12" s="123"/>
      <c r="FA12" s="123"/>
      <c r="FB12" s="123"/>
      <c r="FC12" s="123"/>
      <c r="FD12" s="155">
        <f t="shared" si="6"/>
        <v>1121641.2119999998</v>
      </c>
      <c r="FE12" s="388">
        <f t="shared" si="7"/>
        <v>658441.2119999998</v>
      </c>
      <c r="FF12" s="155">
        <f t="shared" si="8"/>
        <v>463200</v>
      </c>
      <c r="FG12" s="135">
        <f t="shared" si="9"/>
        <v>1475843.7</v>
      </c>
      <c r="FH12" s="147">
        <f>CL12+CB12+DF12+DP12+CV12+DZ12+EJ12+ET12</f>
        <v>1404322.7000000002</v>
      </c>
      <c r="FI12" s="151">
        <f t="shared" si="28"/>
        <v>71520.99999999977</v>
      </c>
      <c r="FJ12" s="421">
        <f t="shared" si="29"/>
        <v>0.9515389061863395</v>
      </c>
      <c r="FK12" s="135">
        <f t="shared" si="30"/>
        <v>1180674.96</v>
      </c>
      <c r="FL12" s="135">
        <f t="shared" si="31"/>
        <v>463200</v>
      </c>
      <c r="FM12" s="135">
        <f t="shared" si="46"/>
        <v>658441.2119999998</v>
      </c>
      <c r="FN12" s="379">
        <f t="shared" si="32"/>
        <v>0.9499999999999998</v>
      </c>
      <c r="FO12" s="135">
        <f t="shared" si="47"/>
        <v>1121641.2119999998</v>
      </c>
      <c r="FP12" s="135">
        <f t="shared" si="33"/>
        <v>59033.74800000014</v>
      </c>
      <c r="FQ12" s="148">
        <f t="shared" si="34"/>
        <v>0.5576820329957703</v>
      </c>
      <c r="FR12" s="117">
        <f t="shared" si="48"/>
        <v>71520.99999999977</v>
      </c>
      <c r="FS12" s="491" t="s">
        <v>594</v>
      </c>
      <c r="FT12" s="135" t="s">
        <v>1337</v>
      </c>
      <c r="FU12" s="135"/>
      <c r="FV12" s="135"/>
    </row>
    <row r="13" spans="1:177" s="127" customFormat="1" ht="12.75" customHeight="1">
      <c r="A13" s="597" t="s">
        <v>185</v>
      </c>
      <c r="B13" s="120">
        <f t="shared" si="14"/>
        <v>11</v>
      </c>
      <c r="C13" s="120"/>
      <c r="D13" s="120">
        <v>11</v>
      </c>
      <c r="E13" s="121" t="s">
        <v>1233</v>
      </c>
      <c r="F13" s="121" t="s">
        <v>1234</v>
      </c>
      <c r="G13" s="121" t="s">
        <v>77</v>
      </c>
      <c r="H13" s="122">
        <v>1278000</v>
      </c>
      <c r="I13" s="123" t="s">
        <v>1168</v>
      </c>
      <c r="J13" s="123" t="str">
        <f t="shared" si="1"/>
        <v>è</v>
      </c>
      <c r="K13" s="122">
        <v>0</v>
      </c>
      <c r="L13" s="122"/>
      <c r="M13" s="122">
        <f t="shared" si="15"/>
        <v>1278000</v>
      </c>
      <c r="N13" s="122">
        <f>+M13</f>
        <v>1278000</v>
      </c>
      <c r="O13" s="122"/>
      <c r="P13" s="122"/>
      <c r="Q13" s="122"/>
      <c r="R13" s="122"/>
      <c r="S13" s="122"/>
      <c r="T13" s="404">
        <f t="shared" si="37"/>
        <v>1022400</v>
      </c>
      <c r="U13" s="372">
        <f t="shared" si="18"/>
        <v>795219.96</v>
      </c>
      <c r="V13" s="122">
        <f t="shared" si="19"/>
        <v>1278000</v>
      </c>
      <c r="W13" s="122">
        <f t="shared" si="20"/>
        <v>639000</v>
      </c>
      <c r="X13" s="122">
        <f t="shared" si="2"/>
        <v>383400</v>
      </c>
      <c r="Y13" s="155">
        <f t="shared" si="21"/>
        <v>1022400</v>
      </c>
      <c r="Z13" s="122">
        <f t="shared" si="22"/>
        <v>153360</v>
      </c>
      <c r="AA13" s="122">
        <f t="shared" si="35"/>
        <v>511200</v>
      </c>
      <c r="AB13" s="122">
        <f t="shared" si="36"/>
        <v>357840</v>
      </c>
      <c r="AC13" s="122">
        <f t="shared" si="23"/>
        <v>869040</v>
      </c>
      <c r="AD13" s="122">
        <f t="shared" si="3"/>
        <v>255600</v>
      </c>
      <c r="AE13" s="122">
        <f t="shared" si="49"/>
        <v>0</v>
      </c>
      <c r="AF13" s="124">
        <v>37776</v>
      </c>
      <c r="AG13" s="143" t="s">
        <v>78</v>
      </c>
      <c r="AH13" s="126">
        <v>38191</v>
      </c>
      <c r="AI13" s="160" t="s">
        <v>79</v>
      </c>
      <c r="AJ13" s="124">
        <v>38195</v>
      </c>
      <c r="AK13" s="129" t="s">
        <v>80</v>
      </c>
      <c r="AL13" s="126"/>
      <c r="AM13" s="120"/>
      <c r="AN13" s="120" t="s">
        <v>1234</v>
      </c>
      <c r="AO13" s="120" t="s">
        <v>17</v>
      </c>
      <c r="AP13" s="127" t="s">
        <v>82</v>
      </c>
      <c r="AQ13" s="163">
        <v>51</v>
      </c>
      <c r="AR13" s="120">
        <v>71100</v>
      </c>
      <c r="AS13" s="121" t="s">
        <v>472</v>
      </c>
      <c r="AT13" s="121" t="s">
        <v>142</v>
      </c>
      <c r="AU13" s="121" t="s">
        <v>473</v>
      </c>
      <c r="AV13" s="150" t="s">
        <v>474</v>
      </c>
      <c r="AW13" s="163" t="s">
        <v>81</v>
      </c>
      <c r="AX13" s="163" t="s">
        <v>81</v>
      </c>
      <c r="AY13" s="127" t="s">
        <v>257</v>
      </c>
      <c r="AZ13" s="127" t="s">
        <v>258</v>
      </c>
      <c r="BA13" s="614" t="s">
        <v>785</v>
      </c>
      <c r="BB13" s="614"/>
      <c r="BC13" s="438">
        <v>302</v>
      </c>
      <c r="BD13" s="439">
        <v>38433</v>
      </c>
      <c r="BE13" s="120"/>
      <c r="BF13" s="154">
        <v>2003</v>
      </c>
      <c r="BG13" s="154">
        <v>2004</v>
      </c>
      <c r="BH13" s="123">
        <f t="shared" si="24"/>
        <v>10278273.76</v>
      </c>
      <c r="BJ13" s="133" t="s">
        <v>1325</v>
      </c>
      <c r="BK13" s="127" t="s">
        <v>1301</v>
      </c>
      <c r="BL13" s="134">
        <v>38631</v>
      </c>
      <c r="BM13" s="134">
        <v>38607</v>
      </c>
      <c r="BN13" s="134">
        <v>38607</v>
      </c>
      <c r="BO13" s="108">
        <f>18+9+6</f>
        <v>33</v>
      </c>
      <c r="BP13" s="124">
        <v>39979</v>
      </c>
      <c r="BQ13" s="135">
        <f t="shared" si="25"/>
        <v>306720</v>
      </c>
      <c r="BR13" s="135">
        <f t="shared" si="26"/>
        <v>260712</v>
      </c>
      <c r="BS13" s="135">
        <f t="shared" si="27"/>
        <v>46008</v>
      </c>
      <c r="BT13" s="164">
        <v>1627</v>
      </c>
      <c r="BU13" s="165">
        <v>38631</v>
      </c>
      <c r="BV13" s="164">
        <f>BF13</f>
        <v>2003</v>
      </c>
      <c r="BW13" s="164">
        <f>BG13</f>
        <v>2004</v>
      </c>
      <c r="BX13" s="164"/>
      <c r="BY13" s="166" t="s">
        <v>209</v>
      </c>
      <c r="BZ13" s="137">
        <v>38649</v>
      </c>
      <c r="CA13" s="139">
        <f>260712+46008</f>
        <v>306720</v>
      </c>
      <c r="CB13" s="168">
        <v>36000</v>
      </c>
      <c r="CC13" s="140">
        <v>38701</v>
      </c>
      <c r="CD13" s="141">
        <f t="shared" si="5"/>
        <v>28800</v>
      </c>
      <c r="CE13" s="141">
        <f t="shared" si="44"/>
        <v>24480</v>
      </c>
      <c r="CF13" s="141">
        <f t="shared" si="38"/>
        <v>4320</v>
      </c>
      <c r="CG13" s="141" t="s">
        <v>275</v>
      </c>
      <c r="CH13" s="124">
        <v>38835</v>
      </c>
      <c r="CI13" s="132" t="s">
        <v>422</v>
      </c>
      <c r="CJ13" s="167">
        <v>38875</v>
      </c>
      <c r="CK13" s="122">
        <f>24480+4320</f>
        <v>28800</v>
      </c>
      <c r="CL13" s="122">
        <v>202307.62</v>
      </c>
      <c r="CM13" s="452">
        <v>39072</v>
      </c>
      <c r="CN13" s="327">
        <f>+CL13*0.8</f>
        <v>161846.09600000002</v>
      </c>
      <c r="CO13" s="327">
        <f aca="true" t="shared" si="50" ref="CO13:CO20">+CN13*0.85</f>
        <v>137569.1816</v>
      </c>
      <c r="CP13" s="327">
        <f aca="true" t="shared" si="51" ref="CP13:CP18">+CN13*0.15</f>
        <v>24276.9144</v>
      </c>
      <c r="CQ13" s="125">
        <v>36</v>
      </c>
      <c r="CR13" s="124">
        <v>39128</v>
      </c>
      <c r="CS13" s="143" t="s">
        <v>651</v>
      </c>
      <c r="CT13" s="124">
        <v>39147</v>
      </c>
      <c r="CU13" s="122">
        <f>137569.18+24276.91</f>
        <v>161846.09</v>
      </c>
      <c r="CV13" s="122">
        <v>13286.75</v>
      </c>
      <c r="CW13" s="452">
        <v>39729</v>
      </c>
      <c r="CX13" s="327">
        <f>+CV13*0.8</f>
        <v>10629.400000000001</v>
      </c>
      <c r="CY13" s="327">
        <f t="shared" si="39"/>
        <v>9034.990000000002</v>
      </c>
      <c r="CZ13" s="327">
        <f t="shared" si="40"/>
        <v>1594.41</v>
      </c>
      <c r="DA13" s="125">
        <v>585</v>
      </c>
      <c r="DB13" s="452">
        <v>39776</v>
      </c>
      <c r="DC13" s="327" t="s">
        <v>324</v>
      </c>
      <c r="DD13" s="452">
        <v>39786</v>
      </c>
      <c r="DE13" s="123">
        <f t="shared" si="41"/>
        <v>10629.400000000001</v>
      </c>
      <c r="DF13" s="122">
        <v>45067</v>
      </c>
      <c r="DG13" s="452">
        <v>39773</v>
      </c>
      <c r="DH13" s="327">
        <f>+DF13*0.8</f>
        <v>36053.6</v>
      </c>
      <c r="DI13" s="327">
        <f t="shared" si="42"/>
        <v>30645.559999999998</v>
      </c>
      <c r="DJ13" s="327">
        <f>+DH13*0.15</f>
        <v>5408.04</v>
      </c>
      <c r="DK13" s="125">
        <v>12</v>
      </c>
      <c r="DL13" s="452">
        <v>39833</v>
      </c>
      <c r="DM13" s="143" t="s">
        <v>1025</v>
      </c>
      <c r="DN13" s="452">
        <v>39860</v>
      </c>
      <c r="DO13" s="123">
        <f>+DH13</f>
        <v>36053.6</v>
      </c>
      <c r="DP13" s="122">
        <v>172144.32</v>
      </c>
      <c r="DQ13" s="452">
        <v>39804</v>
      </c>
      <c r="DR13" s="327">
        <f>+DP13*0.8</f>
        <v>137715.456</v>
      </c>
      <c r="DS13" s="327">
        <f>+DR13*0.85</f>
        <v>117058.1376</v>
      </c>
      <c r="DT13" s="327">
        <f>+DR13*0.15</f>
        <v>20657.3184</v>
      </c>
      <c r="DU13" s="125">
        <v>41</v>
      </c>
      <c r="DV13" s="395">
        <v>39840</v>
      </c>
      <c r="DW13" s="143" t="s">
        <v>305</v>
      </c>
      <c r="DX13" s="395">
        <v>39856</v>
      </c>
      <c r="DY13" s="139">
        <f t="shared" si="43"/>
        <v>137715.456</v>
      </c>
      <c r="DZ13" s="139">
        <f>240993.9-84144+1353.01</f>
        <v>158202.91</v>
      </c>
      <c r="EA13" s="486" t="s">
        <v>377</v>
      </c>
      <c r="EB13" s="368">
        <f>+DZ13*0.8</f>
        <v>126562.32800000001</v>
      </c>
      <c r="EC13" s="168">
        <f>+EB13*0.85</f>
        <v>107577.97880000001</v>
      </c>
      <c r="ED13" s="168">
        <f>+EB13*0.15</f>
        <v>18984.3492</v>
      </c>
      <c r="EE13" s="125">
        <v>359</v>
      </c>
      <c r="EF13" s="395">
        <v>39975</v>
      </c>
      <c r="EG13" s="143" t="s">
        <v>363</v>
      </c>
      <c r="EH13" s="395">
        <v>39989</v>
      </c>
      <c r="EI13" s="168">
        <f>+EB13</f>
        <v>126562.32800000001</v>
      </c>
      <c r="EJ13" s="168">
        <v>168211.36</v>
      </c>
      <c r="EK13" s="395">
        <v>39933</v>
      </c>
      <c r="EL13" s="368">
        <f>+EJ13*0.8</f>
        <v>134569.088</v>
      </c>
      <c r="EM13" s="139">
        <v>114383.73</v>
      </c>
      <c r="EN13" s="139">
        <f>+EL13*0.15</f>
        <v>20185.363199999996</v>
      </c>
      <c r="EO13" s="606">
        <v>500</v>
      </c>
      <c r="EP13" s="395">
        <v>40021</v>
      </c>
      <c r="EQ13" s="327" t="s">
        <v>66</v>
      </c>
      <c r="ER13" s="452">
        <v>40035</v>
      </c>
      <c r="ES13" s="139">
        <f>+EL13</f>
        <v>134569.088</v>
      </c>
      <c r="ET13" s="168"/>
      <c r="EU13" s="395"/>
      <c r="EV13" s="168"/>
      <c r="EW13" s="168"/>
      <c r="EX13" s="168"/>
      <c r="EY13" s="168"/>
      <c r="EZ13" s="168"/>
      <c r="FA13" s="168"/>
      <c r="FB13" s="168"/>
      <c r="FC13" s="168"/>
      <c r="FD13" s="388">
        <f t="shared" si="6"/>
        <v>942895.9619999999</v>
      </c>
      <c r="FE13" s="388">
        <f t="shared" si="7"/>
        <v>636175.9619999999</v>
      </c>
      <c r="FF13" s="159">
        <f t="shared" si="8"/>
        <v>306720</v>
      </c>
      <c r="FG13" s="147">
        <f t="shared" si="9"/>
        <v>1278000</v>
      </c>
      <c r="FH13" s="147">
        <f t="shared" si="45"/>
        <v>795219.96</v>
      </c>
      <c r="FI13" s="145">
        <f t="shared" si="28"/>
        <v>482780.04000000004</v>
      </c>
      <c r="FJ13" s="421">
        <f t="shared" si="29"/>
        <v>0.6222378403755868</v>
      </c>
      <c r="FK13" s="147">
        <f t="shared" si="30"/>
        <v>1022400</v>
      </c>
      <c r="FL13" s="147">
        <f t="shared" si="31"/>
        <v>306720</v>
      </c>
      <c r="FM13" s="135">
        <f t="shared" si="46"/>
        <v>636175.968</v>
      </c>
      <c r="FN13" s="401">
        <f t="shared" si="32"/>
        <v>0.9222378403755869</v>
      </c>
      <c r="FO13" s="135">
        <f t="shared" si="47"/>
        <v>942895.968</v>
      </c>
      <c r="FP13" s="147">
        <f t="shared" si="33"/>
        <v>79504.032</v>
      </c>
      <c r="FQ13" s="423">
        <f t="shared" si="34"/>
        <v>0.6222378403755868</v>
      </c>
      <c r="FR13" s="117">
        <f t="shared" si="48"/>
        <v>482780.04000000004</v>
      </c>
      <c r="FS13" s="492" t="s">
        <v>595</v>
      </c>
      <c r="FT13" s="127" t="s">
        <v>1337</v>
      </c>
      <c r="FU13" s="135"/>
    </row>
    <row r="14" spans="1:177" s="127" customFormat="1" ht="12.75" customHeight="1">
      <c r="A14" s="597" t="s">
        <v>189</v>
      </c>
      <c r="B14" s="120">
        <f t="shared" si="14"/>
        <v>12</v>
      </c>
      <c r="C14" s="120"/>
      <c r="D14" s="120">
        <v>12</v>
      </c>
      <c r="E14" s="121" t="s">
        <v>1231</v>
      </c>
      <c r="F14" s="121" t="s">
        <v>1232</v>
      </c>
      <c r="G14" s="121" t="s">
        <v>143</v>
      </c>
      <c r="H14" s="122">
        <v>5109497.99</v>
      </c>
      <c r="I14" s="123" t="s">
        <v>1168</v>
      </c>
      <c r="J14" s="123" t="str">
        <f t="shared" si="1"/>
        <v>è</v>
      </c>
      <c r="K14" s="122">
        <v>60000</v>
      </c>
      <c r="L14" s="122">
        <v>2549497.99</v>
      </c>
      <c r="M14" s="122">
        <f>+H14-K14</f>
        <v>5049497.99</v>
      </c>
      <c r="N14" s="122">
        <v>2500000</v>
      </c>
      <c r="O14" s="122"/>
      <c r="P14" s="122"/>
      <c r="Q14" s="122"/>
      <c r="R14" s="122"/>
      <c r="S14" s="122"/>
      <c r="T14" s="404">
        <f t="shared" si="37"/>
        <v>2000000</v>
      </c>
      <c r="U14" s="372">
        <f t="shared" si="18"/>
        <v>4976126.199999999</v>
      </c>
      <c r="V14" s="122">
        <f t="shared" si="19"/>
        <v>5049497.99</v>
      </c>
      <c r="W14" s="122">
        <f t="shared" si="20"/>
        <v>2524748.995</v>
      </c>
      <c r="X14" s="122">
        <f t="shared" si="2"/>
        <v>1514849.397</v>
      </c>
      <c r="Y14" s="155">
        <f t="shared" si="21"/>
        <v>2000000</v>
      </c>
      <c r="Z14" s="122">
        <f t="shared" si="22"/>
        <v>300000</v>
      </c>
      <c r="AA14" s="122">
        <f t="shared" si="35"/>
        <v>1000000</v>
      </c>
      <c r="AB14" s="122">
        <f t="shared" si="36"/>
        <v>700000</v>
      </c>
      <c r="AC14" s="122">
        <f t="shared" si="23"/>
        <v>1700000</v>
      </c>
      <c r="AD14" s="122">
        <f t="shared" si="3"/>
        <v>3049497.99</v>
      </c>
      <c r="AE14" s="122">
        <f t="shared" si="49"/>
        <v>60000</v>
      </c>
      <c r="AF14" s="124">
        <v>37642</v>
      </c>
      <c r="AG14" s="149" t="s">
        <v>144</v>
      </c>
      <c r="AH14" s="126">
        <v>38197</v>
      </c>
      <c r="AI14" s="125">
        <v>11551</v>
      </c>
      <c r="AJ14" s="124">
        <v>38203</v>
      </c>
      <c r="AK14" s="125">
        <v>6654</v>
      </c>
      <c r="AL14" s="126"/>
      <c r="AM14" s="120"/>
      <c r="AN14" s="121" t="s">
        <v>1008</v>
      </c>
      <c r="AO14" s="120" t="s">
        <v>17</v>
      </c>
      <c r="AP14" s="127" t="s">
        <v>398</v>
      </c>
      <c r="AQ14" s="120">
        <v>6</v>
      </c>
      <c r="AR14" s="120">
        <v>71046</v>
      </c>
      <c r="AS14" s="121" t="s">
        <v>1009</v>
      </c>
      <c r="AT14" s="121" t="s">
        <v>477</v>
      </c>
      <c r="AU14" s="121" t="s">
        <v>168</v>
      </c>
      <c r="AV14" s="169" t="s">
        <v>170</v>
      </c>
      <c r="AW14" s="125">
        <v>81000710715</v>
      </c>
      <c r="AX14" s="129" t="s">
        <v>26</v>
      </c>
      <c r="AY14" s="130" t="s">
        <v>396</v>
      </c>
      <c r="AZ14" s="130" t="s">
        <v>397</v>
      </c>
      <c r="BA14" s="609" t="s">
        <v>1031</v>
      </c>
      <c r="BB14" s="611"/>
      <c r="BC14" s="438">
        <v>1608</v>
      </c>
      <c r="BD14" s="439">
        <v>38623</v>
      </c>
      <c r="BE14" s="124">
        <v>38646</v>
      </c>
      <c r="BF14" s="132" t="s">
        <v>201</v>
      </c>
      <c r="BG14" s="132" t="s">
        <v>202</v>
      </c>
      <c r="BH14" s="123">
        <f t="shared" si="24"/>
        <v>8278273.76</v>
      </c>
      <c r="BJ14" s="133" t="s">
        <v>1325</v>
      </c>
      <c r="BK14" s="127" t="s">
        <v>1301</v>
      </c>
      <c r="BL14" s="134">
        <v>38659</v>
      </c>
      <c r="BM14" s="134">
        <v>38904</v>
      </c>
      <c r="BN14" s="134">
        <v>38913</v>
      </c>
      <c r="BO14" s="108">
        <f>18+5.55+4.03</f>
        <v>27.580000000000002</v>
      </c>
      <c r="BP14" s="124">
        <v>39762</v>
      </c>
      <c r="BQ14" s="135">
        <f t="shared" si="25"/>
        <v>600000</v>
      </c>
      <c r="BR14" s="135">
        <f t="shared" si="26"/>
        <v>510000</v>
      </c>
      <c r="BS14" s="135">
        <f t="shared" si="27"/>
        <v>90000</v>
      </c>
      <c r="BT14" s="136">
        <v>775</v>
      </c>
      <c r="BU14" s="137">
        <v>38919</v>
      </c>
      <c r="BV14" s="136"/>
      <c r="BW14" s="136"/>
      <c r="BX14" s="136">
        <v>12295</v>
      </c>
      <c r="BY14" s="138" t="s">
        <v>456</v>
      </c>
      <c r="BZ14" s="137">
        <v>38972</v>
      </c>
      <c r="CA14" s="139">
        <f>510000+90000</f>
        <v>600000</v>
      </c>
      <c r="CB14" s="168">
        <v>1199008.71</v>
      </c>
      <c r="CC14" s="140">
        <v>39080</v>
      </c>
      <c r="CD14" s="141">
        <f>+CB14*(Y14/H14)</f>
        <v>469325.44541425677</v>
      </c>
      <c r="CE14" s="141">
        <f t="shared" si="44"/>
        <v>398926.62860211823</v>
      </c>
      <c r="CF14" s="141">
        <f t="shared" si="38"/>
        <v>70398.81681213851</v>
      </c>
      <c r="CG14" s="157">
        <v>122</v>
      </c>
      <c r="CH14" s="137">
        <v>39212</v>
      </c>
      <c r="CI14" s="170" t="s">
        <v>726</v>
      </c>
      <c r="CJ14" s="140">
        <v>39226</v>
      </c>
      <c r="CK14" s="139">
        <f>+CD14</f>
        <v>469325.44541425677</v>
      </c>
      <c r="CL14" s="122">
        <v>144622.02</v>
      </c>
      <c r="CM14" s="134">
        <v>39497</v>
      </c>
      <c r="CN14" s="327">
        <f>+CL14*(Y14/H14)</f>
        <v>56609.09164972584</v>
      </c>
      <c r="CO14" s="327">
        <f t="shared" si="50"/>
        <v>48117.72790226696</v>
      </c>
      <c r="CP14" s="327">
        <f t="shared" si="51"/>
        <v>8491.363747458876</v>
      </c>
      <c r="CQ14" s="125">
        <v>90</v>
      </c>
      <c r="CR14" s="124">
        <v>39521</v>
      </c>
      <c r="CS14" s="143" t="s">
        <v>1083</v>
      </c>
      <c r="CT14" s="124">
        <v>39521</v>
      </c>
      <c r="CU14" s="122">
        <f>CN14</f>
        <v>56609.09164972584</v>
      </c>
      <c r="CV14" s="122">
        <v>1167094.73</v>
      </c>
      <c r="CW14" s="124">
        <v>39520</v>
      </c>
      <c r="CX14" s="327">
        <f>+CV14*(Y14/H14)</f>
        <v>456833.42366869195</v>
      </c>
      <c r="CY14" s="327">
        <f t="shared" si="39"/>
        <v>388308.4101183881</v>
      </c>
      <c r="CZ14" s="327">
        <f t="shared" si="40"/>
        <v>68525.01355030379</v>
      </c>
      <c r="DA14" s="125">
        <v>209</v>
      </c>
      <c r="DB14" s="124">
        <v>39604</v>
      </c>
      <c r="DC14" s="143" t="s">
        <v>439</v>
      </c>
      <c r="DD14" s="124">
        <v>39630</v>
      </c>
      <c r="DE14" s="123">
        <f t="shared" si="41"/>
        <v>456833.42366869195</v>
      </c>
      <c r="DF14" s="139">
        <v>592808.33</v>
      </c>
      <c r="DG14" s="124">
        <v>39651</v>
      </c>
      <c r="DH14" s="327">
        <f>+DF14*(Y14/H14)</f>
        <v>232041.7117925121</v>
      </c>
      <c r="DI14" s="327">
        <f t="shared" si="42"/>
        <v>197235.45502363527</v>
      </c>
      <c r="DJ14" s="327">
        <v>34806.25</v>
      </c>
      <c r="DK14" s="125">
        <v>330</v>
      </c>
      <c r="DL14" s="124">
        <v>39696</v>
      </c>
      <c r="DM14" s="143" t="s">
        <v>1076</v>
      </c>
      <c r="DN14" s="124">
        <v>39716</v>
      </c>
      <c r="DO14" s="123">
        <f>+DH14</f>
        <v>232041.7117925121</v>
      </c>
      <c r="DP14" s="122">
        <f>587051.51+155250.72</f>
        <v>742302.23</v>
      </c>
      <c r="DQ14" s="124">
        <v>39758</v>
      </c>
      <c r="DR14" s="327">
        <v>85190.32747481344</v>
      </c>
      <c r="DS14" s="327">
        <f>+DR14*0.85</f>
        <v>72411.77835359142</v>
      </c>
      <c r="DT14" s="327">
        <f>+DR14*0.15</f>
        <v>12778.549121222017</v>
      </c>
      <c r="DU14" s="125">
        <v>578</v>
      </c>
      <c r="DV14" s="137">
        <v>39776</v>
      </c>
      <c r="DW14" s="143" t="s">
        <v>1395</v>
      </c>
      <c r="DX14" s="137">
        <v>39801</v>
      </c>
      <c r="DY14" s="139">
        <f t="shared" si="43"/>
        <v>85190.32747481344</v>
      </c>
      <c r="DZ14" s="139">
        <f>747630.45-27361+27361</f>
        <v>747630.45</v>
      </c>
      <c r="EA14" s="137"/>
      <c r="EB14" s="168">
        <v>0</v>
      </c>
      <c r="EC14" s="168">
        <v>0</v>
      </c>
      <c r="ED14" s="168">
        <v>0</v>
      </c>
      <c r="EE14" s="419"/>
      <c r="EF14" s="137"/>
      <c r="EG14" s="139"/>
      <c r="EH14" s="137"/>
      <c r="EI14" s="139">
        <f>+EB14</f>
        <v>0</v>
      </c>
      <c r="EJ14" s="139">
        <v>382659.73</v>
      </c>
      <c r="EK14" s="486"/>
      <c r="EL14" s="139">
        <v>0</v>
      </c>
      <c r="EM14" s="139">
        <v>0</v>
      </c>
      <c r="EN14" s="139">
        <v>0</v>
      </c>
      <c r="EO14" s="157"/>
      <c r="EP14" s="137"/>
      <c r="EQ14" s="139"/>
      <c r="ER14" s="137"/>
      <c r="ES14" s="139">
        <f>+EL14</f>
        <v>0</v>
      </c>
      <c r="ET14" s="139"/>
      <c r="EU14" s="137"/>
      <c r="EV14" s="139"/>
      <c r="EW14" s="139"/>
      <c r="EX14" s="139"/>
      <c r="EY14" s="139"/>
      <c r="EZ14" s="139"/>
      <c r="FA14" s="139"/>
      <c r="FB14" s="139"/>
      <c r="FC14" s="139"/>
      <c r="FD14" s="388">
        <f t="shared" si="6"/>
        <v>1900000</v>
      </c>
      <c r="FE14" s="388">
        <f t="shared" si="7"/>
        <v>1300000</v>
      </c>
      <c r="FF14" s="159">
        <f t="shared" si="8"/>
        <v>600000</v>
      </c>
      <c r="FG14" s="147">
        <f t="shared" si="9"/>
        <v>5049497.99</v>
      </c>
      <c r="FH14" s="147">
        <f t="shared" si="45"/>
        <v>4976126.199999999</v>
      </c>
      <c r="FI14" s="145">
        <f t="shared" si="28"/>
        <v>73371.79000000097</v>
      </c>
      <c r="FJ14" s="586">
        <f t="shared" si="29"/>
        <v>0.9854694882253036</v>
      </c>
      <c r="FK14" s="147">
        <f t="shared" si="30"/>
        <v>2000000</v>
      </c>
      <c r="FL14" s="147">
        <f t="shared" si="31"/>
        <v>600000</v>
      </c>
      <c r="FM14" s="135">
        <f t="shared" si="46"/>
        <v>1300000</v>
      </c>
      <c r="FN14" s="418">
        <f t="shared" si="32"/>
        <v>0.95</v>
      </c>
      <c r="FO14" s="135">
        <f t="shared" si="47"/>
        <v>1900000</v>
      </c>
      <c r="FP14" s="147">
        <f t="shared" si="33"/>
        <v>100000</v>
      </c>
      <c r="FQ14" s="423">
        <f t="shared" si="34"/>
        <v>0.65</v>
      </c>
      <c r="FR14" s="117">
        <f t="shared" si="48"/>
        <v>73371.79000000097</v>
      </c>
      <c r="FS14" s="127" t="s">
        <v>591</v>
      </c>
      <c r="FT14" s="127" t="s">
        <v>1337</v>
      </c>
      <c r="FU14" s="135"/>
    </row>
    <row r="15" spans="1:176" s="127" customFormat="1" ht="12.75" customHeight="1">
      <c r="A15" s="597" t="s">
        <v>184</v>
      </c>
      <c r="B15" s="120">
        <f t="shared" si="14"/>
        <v>13</v>
      </c>
      <c r="C15" s="120"/>
      <c r="D15" s="120">
        <v>13</v>
      </c>
      <c r="E15" s="588" t="s">
        <v>48</v>
      </c>
      <c r="F15" s="121" t="s">
        <v>1221</v>
      </c>
      <c r="G15" s="121" t="s">
        <v>39</v>
      </c>
      <c r="H15" s="122">
        <v>1977840</v>
      </c>
      <c r="I15" s="123" t="s">
        <v>1168</v>
      </c>
      <c r="J15" s="123" t="str">
        <f t="shared" si="1"/>
        <v>è</v>
      </c>
      <c r="K15" s="122">
        <v>0</v>
      </c>
      <c r="L15" s="122"/>
      <c r="M15" s="122">
        <f t="shared" si="15"/>
        <v>1977840</v>
      </c>
      <c r="N15" s="122">
        <v>1817840</v>
      </c>
      <c r="O15" s="393">
        <f>+M15-N15</f>
        <v>160000</v>
      </c>
      <c r="P15" s="393">
        <f>+O15*0.8</f>
        <v>128000</v>
      </c>
      <c r="Q15" s="122">
        <f>+P15*0.85</f>
        <v>108800</v>
      </c>
      <c r="R15" s="122">
        <f>+P15*0.15</f>
        <v>19200</v>
      </c>
      <c r="S15" s="430" t="s">
        <v>1141</v>
      </c>
      <c r="T15" s="404">
        <f t="shared" si="37"/>
        <v>1454272</v>
      </c>
      <c r="U15" s="155">
        <f t="shared" si="18"/>
        <v>1816567.59</v>
      </c>
      <c r="V15" s="122">
        <f t="shared" si="19"/>
        <v>1977840</v>
      </c>
      <c r="W15" s="122">
        <f t="shared" si="20"/>
        <v>988920</v>
      </c>
      <c r="X15" s="122">
        <f t="shared" si="2"/>
        <v>593352</v>
      </c>
      <c r="Y15" s="155">
        <f t="shared" si="21"/>
        <v>1582272</v>
      </c>
      <c r="Z15" s="122">
        <f t="shared" si="22"/>
        <v>237340.8</v>
      </c>
      <c r="AA15" s="122">
        <f t="shared" si="35"/>
        <v>791136</v>
      </c>
      <c r="AB15" s="122">
        <f t="shared" si="36"/>
        <v>553795.2</v>
      </c>
      <c r="AC15" s="122">
        <f t="shared" si="23"/>
        <v>1344931.2</v>
      </c>
      <c r="AD15" s="122">
        <f t="shared" si="3"/>
        <v>395568</v>
      </c>
      <c r="AE15" s="122">
        <f t="shared" si="49"/>
        <v>0</v>
      </c>
      <c r="AF15" s="160" t="s">
        <v>1285</v>
      </c>
      <c r="AG15" s="163" t="s">
        <v>42</v>
      </c>
      <c r="AH15" s="126">
        <v>38320</v>
      </c>
      <c r="AI15" s="143" t="s">
        <v>40</v>
      </c>
      <c r="AJ15" s="124">
        <v>38198</v>
      </c>
      <c r="AK15" s="129" t="s">
        <v>41</v>
      </c>
      <c r="AL15" s="126"/>
      <c r="AM15" s="120"/>
      <c r="AN15" s="120" t="s">
        <v>1221</v>
      </c>
      <c r="AO15" s="120" t="s">
        <v>1275</v>
      </c>
      <c r="AP15" s="127" t="s">
        <v>44</v>
      </c>
      <c r="AQ15" s="163" t="s">
        <v>26</v>
      </c>
      <c r="AR15" s="120">
        <v>73024</v>
      </c>
      <c r="AS15" s="172" t="s">
        <v>46</v>
      </c>
      <c r="AT15" s="172" t="s">
        <v>45</v>
      </c>
      <c r="AU15" s="121" t="s">
        <v>47</v>
      </c>
      <c r="AV15" s="150" t="s">
        <v>475</v>
      </c>
      <c r="AW15" s="129" t="s">
        <v>43</v>
      </c>
      <c r="AX15" s="129">
        <v>272210758</v>
      </c>
      <c r="AY15" s="130" t="s">
        <v>265</v>
      </c>
      <c r="AZ15" s="130" t="s">
        <v>266</v>
      </c>
      <c r="BA15" s="629" t="s">
        <v>1044</v>
      </c>
      <c r="BB15" s="629"/>
      <c r="BC15" s="322">
        <v>237</v>
      </c>
      <c r="BD15" s="440">
        <v>38421</v>
      </c>
      <c r="BE15" s="124">
        <v>38471</v>
      </c>
      <c r="BF15" s="132" t="s">
        <v>150</v>
      </c>
      <c r="BG15" s="132" t="s">
        <v>151</v>
      </c>
      <c r="BH15" s="123">
        <f t="shared" si="24"/>
        <v>6696001.76</v>
      </c>
      <c r="BJ15" s="133" t="s">
        <v>1325</v>
      </c>
      <c r="BK15" s="127" t="s">
        <v>1301</v>
      </c>
      <c r="BL15" s="134">
        <v>38659</v>
      </c>
      <c r="BM15" s="134">
        <v>38638</v>
      </c>
      <c r="BN15" s="134">
        <v>38827</v>
      </c>
      <c r="BO15" s="120">
        <f>18+8.1+1.35</f>
        <v>27.450000000000003</v>
      </c>
      <c r="BP15" s="124">
        <v>39762</v>
      </c>
      <c r="BQ15" s="135">
        <f t="shared" si="25"/>
        <v>474681.6</v>
      </c>
      <c r="BR15" s="135">
        <f t="shared" si="26"/>
        <v>403479.36</v>
      </c>
      <c r="BS15" s="135">
        <f t="shared" si="27"/>
        <v>71202.23999999999</v>
      </c>
      <c r="BT15" s="120">
        <v>321</v>
      </c>
      <c r="BU15" s="124">
        <v>38834</v>
      </c>
      <c r="BV15" s="120">
        <v>2003</v>
      </c>
      <c r="BW15" s="120">
        <v>2004</v>
      </c>
      <c r="BX15" s="120">
        <v>11602</v>
      </c>
      <c r="BY15" s="172" t="s">
        <v>331</v>
      </c>
      <c r="BZ15" s="124">
        <v>38859</v>
      </c>
      <c r="CA15" s="123">
        <f>403479.36+71202.2</f>
        <v>474681.56</v>
      </c>
      <c r="CB15" s="122">
        <v>71290.16</v>
      </c>
      <c r="CC15" s="167">
        <v>39427</v>
      </c>
      <c r="CD15" s="143">
        <f>+CB15*0.8</f>
        <v>57032.128000000004</v>
      </c>
      <c r="CE15" s="123">
        <f t="shared" si="44"/>
        <v>48477.3088</v>
      </c>
      <c r="CF15" s="123">
        <f t="shared" si="38"/>
        <v>8554.8192</v>
      </c>
      <c r="CG15" s="125">
        <v>148</v>
      </c>
      <c r="CH15" s="124">
        <v>39581</v>
      </c>
      <c r="CI15" s="143" t="s">
        <v>236</v>
      </c>
      <c r="CJ15" s="167">
        <v>39611</v>
      </c>
      <c r="CK15" s="123">
        <f>+CD15</f>
        <v>57032.128000000004</v>
      </c>
      <c r="CL15" s="123">
        <v>155842.37</v>
      </c>
      <c r="CM15" s="124">
        <v>39511</v>
      </c>
      <c r="CN15" s="327">
        <f>+CL15*0.8</f>
        <v>124673.89600000001</v>
      </c>
      <c r="CO15" s="327">
        <f t="shared" si="50"/>
        <v>105972.8116</v>
      </c>
      <c r="CP15" s="327">
        <f t="shared" si="51"/>
        <v>18701.0844</v>
      </c>
      <c r="CQ15" s="125">
        <v>149</v>
      </c>
      <c r="CR15" s="124">
        <v>39581</v>
      </c>
      <c r="CS15" s="143" t="s">
        <v>436</v>
      </c>
      <c r="CT15" s="124">
        <v>39611</v>
      </c>
      <c r="CU15" s="122">
        <f>CN15</f>
        <v>124673.89600000001</v>
      </c>
      <c r="CV15" s="122">
        <v>340737.32</v>
      </c>
      <c r="CW15" s="124">
        <v>39645</v>
      </c>
      <c r="CX15" s="327">
        <f>+CV15*0.8</f>
        <v>272589.856</v>
      </c>
      <c r="CY15" s="327">
        <f t="shared" si="39"/>
        <v>231701.3776</v>
      </c>
      <c r="CZ15" s="327">
        <f t="shared" si="40"/>
        <v>40888.4784</v>
      </c>
      <c r="DA15" s="125">
        <v>387</v>
      </c>
      <c r="DB15" s="124">
        <v>39721</v>
      </c>
      <c r="DC15" s="143" t="s">
        <v>1095</v>
      </c>
      <c r="DD15" s="124">
        <v>39742</v>
      </c>
      <c r="DE15" s="123">
        <f t="shared" si="41"/>
        <v>272589.856</v>
      </c>
      <c r="DF15" s="123">
        <v>139717.76</v>
      </c>
      <c r="DG15" s="124">
        <v>39720</v>
      </c>
      <c r="DH15" s="327">
        <f>+DF15*0.8</f>
        <v>111774.20800000001</v>
      </c>
      <c r="DI15" s="327">
        <f t="shared" si="42"/>
        <v>95008.07680000001</v>
      </c>
      <c r="DJ15" s="327">
        <f>+DH15*0.15</f>
        <v>16766.1312</v>
      </c>
      <c r="DK15" s="125">
        <v>427</v>
      </c>
      <c r="DL15" s="124">
        <v>39735</v>
      </c>
      <c r="DM15" s="143" t="s">
        <v>1099</v>
      </c>
      <c r="DN15" s="124">
        <v>39749</v>
      </c>
      <c r="DO15" s="123">
        <f>+DH15</f>
        <v>111774.20800000001</v>
      </c>
      <c r="DP15" s="122">
        <v>425252.28</v>
      </c>
      <c r="DQ15" s="124">
        <v>39758</v>
      </c>
      <c r="DR15" s="327">
        <f>+DP15*0.8</f>
        <v>340201.824</v>
      </c>
      <c r="DS15" s="327">
        <f>+DR15*0.85</f>
        <v>289171.5504</v>
      </c>
      <c r="DT15" s="327">
        <f>+DR15*0.15</f>
        <v>51030.2736</v>
      </c>
      <c r="DU15" s="125">
        <v>577</v>
      </c>
      <c r="DV15" s="124">
        <v>39776</v>
      </c>
      <c r="DW15" s="143" t="s">
        <v>1394</v>
      </c>
      <c r="DX15" s="124">
        <v>39801</v>
      </c>
      <c r="DY15" s="123">
        <f t="shared" si="43"/>
        <v>340201.824</v>
      </c>
      <c r="DZ15" s="123">
        <v>513326.12</v>
      </c>
      <c r="EA15" s="124">
        <v>39826</v>
      </c>
      <c r="EB15" s="327">
        <v>0</v>
      </c>
      <c r="EC15" s="327">
        <f>+EB15*0.85</f>
        <v>0</v>
      </c>
      <c r="ED15" s="327">
        <f>+EB15*0.15</f>
        <v>0</v>
      </c>
      <c r="EE15" s="130"/>
      <c r="EF15" s="124" t="s">
        <v>1337</v>
      </c>
      <c r="EG15" s="123"/>
      <c r="EH15" s="124"/>
      <c r="EI15" s="123">
        <f>+EB15</f>
        <v>0</v>
      </c>
      <c r="EJ15" s="122">
        <v>146101.9</v>
      </c>
      <c r="EK15" s="124">
        <v>39962</v>
      </c>
      <c r="EL15" s="123">
        <v>0</v>
      </c>
      <c r="EM15" s="123"/>
      <c r="EN15" s="123"/>
      <c r="EO15" s="125"/>
      <c r="EP15" s="124"/>
      <c r="EQ15" s="123"/>
      <c r="ER15" s="124"/>
      <c r="ES15" s="123">
        <v>0</v>
      </c>
      <c r="ET15" s="123">
        <v>24299.68</v>
      </c>
      <c r="EU15" s="336"/>
      <c r="EV15" s="123">
        <v>0</v>
      </c>
      <c r="EW15" s="123"/>
      <c r="EX15" s="123"/>
      <c r="EY15" s="123"/>
      <c r="EZ15" s="123"/>
      <c r="FA15" s="123"/>
      <c r="FB15" s="123"/>
      <c r="FC15" s="123">
        <v>0</v>
      </c>
      <c r="FD15" s="155">
        <f aca="true" t="shared" si="52" ref="FD15:FD20">+FE15+FF15</f>
        <v>1380953.512</v>
      </c>
      <c r="FE15" s="388">
        <f t="shared" si="7"/>
        <v>906271.912</v>
      </c>
      <c r="FF15" s="155">
        <f aca="true" t="shared" si="53" ref="FF15:FF20">+BQ15</f>
        <v>474681.6</v>
      </c>
      <c r="FG15" s="135">
        <f t="shared" si="9"/>
        <v>1817840</v>
      </c>
      <c r="FH15" s="147">
        <f t="shared" si="45"/>
        <v>1816567.59</v>
      </c>
      <c r="FI15" s="151">
        <f t="shared" si="28"/>
        <v>1272.4099999999162</v>
      </c>
      <c r="FJ15" s="586">
        <f t="shared" si="29"/>
        <v>0.9993000429080667</v>
      </c>
      <c r="FK15" s="135">
        <f t="shared" si="30"/>
        <v>1454272</v>
      </c>
      <c r="FL15" s="135">
        <f t="shared" si="31"/>
        <v>474681.6</v>
      </c>
      <c r="FM15" s="135">
        <f t="shared" si="46"/>
        <v>906271.9120000001</v>
      </c>
      <c r="FN15" s="379">
        <f t="shared" si="32"/>
        <v>0.9495840613035251</v>
      </c>
      <c r="FO15" s="135">
        <f t="shared" si="47"/>
        <v>1380953.512</v>
      </c>
      <c r="FP15" s="135">
        <f t="shared" si="33"/>
        <v>73318.4879999999</v>
      </c>
      <c r="FQ15" s="148">
        <f t="shared" si="34"/>
        <v>0.6231790971702681</v>
      </c>
      <c r="FR15" s="117">
        <f t="shared" si="48"/>
        <v>1272.4099999999162</v>
      </c>
      <c r="FS15" s="491" t="s">
        <v>596</v>
      </c>
      <c r="FT15" s="135" t="s">
        <v>1337</v>
      </c>
    </row>
    <row r="16" spans="1:182" s="127" customFormat="1" ht="12.75" customHeight="1">
      <c r="A16" s="597" t="s">
        <v>177</v>
      </c>
      <c r="B16" s="120">
        <f t="shared" si="14"/>
        <v>14</v>
      </c>
      <c r="C16" s="120"/>
      <c r="D16" s="120">
        <v>14</v>
      </c>
      <c r="E16" s="479" t="s">
        <v>1224</v>
      </c>
      <c r="F16" s="479" t="s">
        <v>1225</v>
      </c>
      <c r="G16" s="121" t="s">
        <v>102</v>
      </c>
      <c r="H16" s="155">
        <v>1700000</v>
      </c>
      <c r="I16" s="123" t="s">
        <v>1168</v>
      </c>
      <c r="J16" s="123" t="str">
        <f t="shared" si="1"/>
        <v>è</v>
      </c>
      <c r="K16" s="122">
        <v>60200</v>
      </c>
      <c r="L16" s="122"/>
      <c r="M16" s="122">
        <f t="shared" si="15"/>
        <v>1639800</v>
      </c>
      <c r="N16" s="155">
        <v>1622411</v>
      </c>
      <c r="O16" s="110">
        <f>M16-N16</f>
        <v>17389</v>
      </c>
      <c r="P16" s="110">
        <f>+O16*0.8</f>
        <v>13911.2</v>
      </c>
      <c r="Q16" s="110">
        <f>+P16*0.85</f>
        <v>11824.52</v>
      </c>
      <c r="R16" s="110">
        <f>+P16*0.15</f>
        <v>2086.68</v>
      </c>
      <c r="S16" s="127" t="s">
        <v>1146</v>
      </c>
      <c r="T16" s="404">
        <f t="shared" si="37"/>
        <v>1297928.8</v>
      </c>
      <c r="U16" s="372">
        <f t="shared" si="18"/>
        <v>1143117.23</v>
      </c>
      <c r="V16" s="122">
        <f t="shared" si="19"/>
        <v>1639800</v>
      </c>
      <c r="W16" s="122">
        <f t="shared" si="20"/>
        <v>819900</v>
      </c>
      <c r="X16" s="122">
        <f t="shared" si="2"/>
        <v>491940</v>
      </c>
      <c r="Y16" s="155">
        <f t="shared" si="21"/>
        <v>1311840</v>
      </c>
      <c r="Z16" s="122">
        <f t="shared" si="22"/>
        <v>196776</v>
      </c>
      <c r="AA16" s="122">
        <f t="shared" si="35"/>
        <v>655920</v>
      </c>
      <c r="AB16" s="122">
        <f t="shared" si="36"/>
        <v>459143.99999999994</v>
      </c>
      <c r="AC16" s="122">
        <f t="shared" si="23"/>
        <v>1115064</v>
      </c>
      <c r="AD16" s="122">
        <f t="shared" si="3"/>
        <v>327960</v>
      </c>
      <c r="AE16" s="122">
        <f t="shared" si="49"/>
        <v>60200</v>
      </c>
      <c r="AF16" s="160" t="s">
        <v>1285</v>
      </c>
      <c r="AG16" s="143" t="s">
        <v>1286</v>
      </c>
      <c r="AH16" s="171" t="s">
        <v>1287</v>
      </c>
      <c r="AI16" s="129" t="s">
        <v>1288</v>
      </c>
      <c r="AJ16" s="160" t="s">
        <v>1289</v>
      </c>
      <c r="AK16" s="129" t="s">
        <v>1290</v>
      </c>
      <c r="AL16" s="171" t="s">
        <v>1296</v>
      </c>
      <c r="AM16" s="120">
        <v>5605</v>
      </c>
      <c r="AN16" s="120" t="s">
        <v>1225</v>
      </c>
      <c r="AO16" s="120" t="s">
        <v>1275</v>
      </c>
      <c r="AP16" s="127" t="s">
        <v>621</v>
      </c>
      <c r="AQ16" s="120">
        <v>78</v>
      </c>
      <c r="AR16" s="163" t="s">
        <v>1276</v>
      </c>
      <c r="AS16" s="172" t="s">
        <v>153</v>
      </c>
      <c r="AT16" s="172" t="s">
        <v>154</v>
      </c>
      <c r="AU16" s="121" t="s">
        <v>104</v>
      </c>
      <c r="AV16" s="150" t="s">
        <v>155</v>
      </c>
      <c r="AW16" s="125">
        <v>82000090751</v>
      </c>
      <c r="AX16" s="129" t="s">
        <v>1279</v>
      </c>
      <c r="AY16" s="130" t="s">
        <v>274</v>
      </c>
      <c r="AZ16" s="130" t="s">
        <v>273</v>
      </c>
      <c r="BA16" s="609" t="s">
        <v>791</v>
      </c>
      <c r="BB16" s="609"/>
      <c r="BC16" s="441">
        <v>261</v>
      </c>
      <c r="BD16" s="442">
        <v>38170</v>
      </c>
      <c r="BE16" s="160">
        <v>38191</v>
      </c>
      <c r="BF16" s="132">
        <v>16</v>
      </c>
      <c r="BG16" s="132">
        <v>15</v>
      </c>
      <c r="BH16" s="123">
        <f t="shared" si="24"/>
        <v>5384161.76</v>
      </c>
      <c r="BJ16" s="133" t="s">
        <v>1325</v>
      </c>
      <c r="BK16" s="127" t="s">
        <v>1301</v>
      </c>
      <c r="BL16" s="134">
        <v>38376</v>
      </c>
      <c r="BM16" s="134">
        <v>38335</v>
      </c>
      <c r="BN16" s="134">
        <v>38261</v>
      </c>
      <c r="BO16" s="108">
        <f>18+9+4+4</f>
        <v>35</v>
      </c>
      <c r="BP16" s="124">
        <f>BN16+(BO16*365/12)</f>
        <v>39325.583333333336</v>
      </c>
      <c r="BQ16" s="135">
        <f t="shared" si="25"/>
        <v>393552</v>
      </c>
      <c r="BR16" s="135">
        <f t="shared" si="26"/>
        <v>334519.2</v>
      </c>
      <c r="BS16" s="135">
        <f t="shared" si="27"/>
        <v>59032.799999999996</v>
      </c>
      <c r="BT16" s="136">
        <v>19</v>
      </c>
      <c r="BU16" s="137">
        <v>38376</v>
      </c>
      <c r="BV16" s="138" t="s">
        <v>55</v>
      </c>
      <c r="BW16" s="138" t="s">
        <v>55</v>
      </c>
      <c r="BX16" s="138"/>
      <c r="BY16" s="138" t="s">
        <v>96</v>
      </c>
      <c r="BZ16" s="173">
        <v>38405</v>
      </c>
      <c r="CA16" s="141">
        <f>334519.2+59032.8</f>
        <v>393552</v>
      </c>
      <c r="CB16" s="413">
        <v>238778.4</v>
      </c>
      <c r="CC16" s="174">
        <v>38727</v>
      </c>
      <c r="CD16" s="141">
        <f>+CB16*0.8</f>
        <v>191022.72</v>
      </c>
      <c r="CE16" s="141">
        <f>+CD16*0.85</f>
        <v>162369.312</v>
      </c>
      <c r="CF16" s="141">
        <f>+CD16*0.15</f>
        <v>28653.408</v>
      </c>
      <c r="CG16" s="142">
        <v>376</v>
      </c>
      <c r="CH16" s="173">
        <v>38846</v>
      </c>
      <c r="CI16" s="175" t="s">
        <v>424</v>
      </c>
      <c r="CJ16" s="167">
        <v>38875</v>
      </c>
      <c r="CK16" s="135">
        <f>162369.31+28653.41</f>
        <v>191022.72</v>
      </c>
      <c r="CL16" s="266">
        <v>904338.83</v>
      </c>
      <c r="CM16" s="134">
        <v>39282</v>
      </c>
      <c r="CN16" s="327">
        <f>(N16*0.8)*0.95-(CA16+CK16)</f>
        <v>648457.6400000001</v>
      </c>
      <c r="CO16" s="327">
        <f t="shared" si="50"/>
        <v>551188.9940000001</v>
      </c>
      <c r="CP16" s="327">
        <f t="shared" si="51"/>
        <v>97268.64600000002</v>
      </c>
      <c r="CQ16" s="125">
        <v>23</v>
      </c>
      <c r="CR16" s="134">
        <v>39469</v>
      </c>
      <c r="CS16" s="143" t="s">
        <v>798</v>
      </c>
      <c r="CT16" s="134">
        <v>39492</v>
      </c>
      <c r="CU16" s="122">
        <f>CN16</f>
        <v>648457.6400000001</v>
      </c>
      <c r="CV16" s="122"/>
      <c r="CW16" s="134"/>
      <c r="CX16" s="135"/>
      <c r="CY16" s="135"/>
      <c r="CZ16" s="135"/>
      <c r="DA16" s="125"/>
      <c r="DB16" s="134"/>
      <c r="DC16" s="135"/>
      <c r="DD16" s="134"/>
      <c r="DE16" s="135"/>
      <c r="DF16" s="135"/>
      <c r="DG16" s="134"/>
      <c r="DH16" s="135"/>
      <c r="DI16" s="135"/>
      <c r="DJ16" s="135"/>
      <c r="DK16" s="397"/>
      <c r="DL16" s="134"/>
      <c r="DM16" s="135"/>
      <c r="DN16" s="134"/>
      <c r="DO16" s="135"/>
      <c r="DP16" s="135"/>
      <c r="DQ16" s="134"/>
      <c r="DR16" s="135"/>
      <c r="DS16" s="135"/>
      <c r="DT16" s="135"/>
      <c r="DU16" s="397"/>
      <c r="DV16" s="134"/>
      <c r="DW16" s="135"/>
      <c r="DX16" s="135"/>
      <c r="DY16" s="135"/>
      <c r="DZ16" s="135"/>
      <c r="EA16" s="134"/>
      <c r="EB16" s="135"/>
      <c r="EC16" s="135"/>
      <c r="ED16" s="135"/>
      <c r="EE16" s="397"/>
      <c r="EF16" s="134"/>
      <c r="EG16" s="135"/>
      <c r="EH16" s="134"/>
      <c r="EI16" s="135"/>
      <c r="EJ16" s="135"/>
      <c r="EK16" s="134"/>
      <c r="EL16" s="135"/>
      <c r="EM16" s="135"/>
      <c r="EN16" s="135"/>
      <c r="EO16" s="397"/>
      <c r="EP16" s="134"/>
      <c r="EQ16" s="135"/>
      <c r="ER16" s="134"/>
      <c r="ES16" s="135"/>
      <c r="ET16" s="135"/>
      <c r="EU16" s="134"/>
      <c r="EV16" s="135"/>
      <c r="EW16" s="135"/>
      <c r="EX16" s="135"/>
      <c r="EY16" s="135"/>
      <c r="EZ16" s="135"/>
      <c r="FA16" s="135"/>
      <c r="FB16" s="135"/>
      <c r="FC16" s="135"/>
      <c r="FD16" s="388">
        <f t="shared" si="52"/>
        <v>1233032.36</v>
      </c>
      <c r="FE16" s="388">
        <f t="shared" si="7"/>
        <v>839480.3600000001</v>
      </c>
      <c r="FF16" s="159">
        <f t="shared" si="53"/>
        <v>393552</v>
      </c>
      <c r="FG16" s="147">
        <f t="shared" si="9"/>
        <v>1622411</v>
      </c>
      <c r="FH16" s="147">
        <f t="shared" si="45"/>
        <v>1143117.23</v>
      </c>
      <c r="FI16" s="145">
        <f t="shared" si="28"/>
        <v>479293.77</v>
      </c>
      <c r="FJ16" s="432">
        <f t="shared" si="29"/>
        <v>0.7045793143660884</v>
      </c>
      <c r="FK16" s="147">
        <f t="shared" si="30"/>
        <v>1297928.8</v>
      </c>
      <c r="FL16" s="147">
        <f t="shared" si="31"/>
        <v>393552</v>
      </c>
      <c r="FM16" s="135">
        <f t="shared" si="46"/>
        <v>839480.3600000001</v>
      </c>
      <c r="FN16" s="410">
        <f t="shared" si="32"/>
        <v>0.9500000000000001</v>
      </c>
      <c r="FO16" s="135">
        <f t="shared" si="47"/>
        <v>1233032.36</v>
      </c>
      <c r="FP16" s="147">
        <f t="shared" si="33"/>
        <v>64896.439999999944</v>
      </c>
      <c r="FQ16" s="423">
        <f t="shared" si="34"/>
        <v>0.6467846002030312</v>
      </c>
      <c r="FR16" s="117">
        <f t="shared" si="48"/>
        <v>479293.77</v>
      </c>
      <c r="FS16" s="491" t="s">
        <v>597</v>
      </c>
      <c r="FT16" s="483" t="s">
        <v>1016</v>
      </c>
      <c r="FU16" s="230" t="s">
        <v>1017</v>
      </c>
      <c r="FV16" s="492" t="s">
        <v>997</v>
      </c>
      <c r="FW16" s="127" t="s">
        <v>1337</v>
      </c>
      <c r="FZ16" s="230" t="s">
        <v>1337</v>
      </c>
    </row>
    <row r="17" spans="1:177" s="127" customFormat="1" ht="12.75" customHeight="1">
      <c r="A17" s="597" t="s">
        <v>188</v>
      </c>
      <c r="B17" s="120">
        <f t="shared" si="14"/>
        <v>15</v>
      </c>
      <c r="C17" s="120"/>
      <c r="D17" s="120">
        <v>15</v>
      </c>
      <c r="E17" s="121" t="s">
        <v>85</v>
      </c>
      <c r="F17" s="121" t="s">
        <v>1216</v>
      </c>
      <c r="G17" s="121" t="s">
        <v>11</v>
      </c>
      <c r="H17" s="122">
        <v>1922650</v>
      </c>
      <c r="I17" s="123" t="s">
        <v>1168</v>
      </c>
      <c r="J17" s="123" t="str">
        <f t="shared" si="1"/>
        <v>è</v>
      </c>
      <c r="K17" s="122">
        <v>0</v>
      </c>
      <c r="L17" s="122"/>
      <c r="M17" s="122">
        <f t="shared" si="15"/>
        <v>1922650</v>
      </c>
      <c r="N17" s="122">
        <f>M17-O17</f>
        <v>1814711.22</v>
      </c>
      <c r="O17" s="393">
        <v>107938.78</v>
      </c>
      <c r="P17" s="393">
        <f>+O17*0.8</f>
        <v>86351.024</v>
      </c>
      <c r="Q17" s="122">
        <f>+P17*0.85</f>
        <v>73398.3704</v>
      </c>
      <c r="R17" s="122">
        <f>+P17*0.15</f>
        <v>12952.6536</v>
      </c>
      <c r="S17" s="429" t="s">
        <v>1142</v>
      </c>
      <c r="T17" s="404">
        <f t="shared" si="37"/>
        <v>1451768.976</v>
      </c>
      <c r="U17" s="372">
        <f t="shared" si="18"/>
        <v>1808040.12</v>
      </c>
      <c r="V17" s="122">
        <f t="shared" si="19"/>
        <v>1922650</v>
      </c>
      <c r="W17" s="122">
        <f t="shared" si="20"/>
        <v>961325</v>
      </c>
      <c r="X17" s="122">
        <f t="shared" si="2"/>
        <v>576795</v>
      </c>
      <c r="Y17" s="155">
        <f t="shared" si="21"/>
        <v>1538120</v>
      </c>
      <c r="Z17" s="122">
        <f t="shared" si="22"/>
        <v>230718</v>
      </c>
      <c r="AA17" s="122">
        <f t="shared" si="35"/>
        <v>769060</v>
      </c>
      <c r="AB17" s="122">
        <f t="shared" si="36"/>
        <v>538342</v>
      </c>
      <c r="AC17" s="122">
        <f t="shared" si="23"/>
        <v>1307402</v>
      </c>
      <c r="AD17" s="122">
        <f t="shared" si="3"/>
        <v>384530</v>
      </c>
      <c r="AE17" s="122">
        <f t="shared" si="49"/>
        <v>0</v>
      </c>
      <c r="AF17" s="124">
        <v>37643</v>
      </c>
      <c r="AG17" s="143" t="s">
        <v>26</v>
      </c>
      <c r="AH17" s="126">
        <v>38197</v>
      </c>
      <c r="AI17" s="129" t="s">
        <v>83</v>
      </c>
      <c r="AJ17" s="124">
        <v>38203</v>
      </c>
      <c r="AK17" s="129" t="s">
        <v>84</v>
      </c>
      <c r="AL17" s="126"/>
      <c r="AM17" s="120"/>
      <c r="AN17" s="120" t="s">
        <v>1216</v>
      </c>
      <c r="AO17" s="120" t="s">
        <v>1275</v>
      </c>
      <c r="AP17" s="127" t="s">
        <v>1057</v>
      </c>
      <c r="AQ17" s="163">
        <v>1</v>
      </c>
      <c r="AR17" s="163" t="s">
        <v>86</v>
      </c>
      <c r="AS17" s="172" t="s">
        <v>1039</v>
      </c>
      <c r="AT17" s="172" t="s">
        <v>87</v>
      </c>
      <c r="AU17" s="121" t="s">
        <v>689</v>
      </c>
      <c r="AV17" s="150" t="s">
        <v>103</v>
      </c>
      <c r="AW17" s="129" t="s">
        <v>88</v>
      </c>
      <c r="AX17" s="129" t="s">
        <v>26</v>
      </c>
      <c r="AY17" s="130" t="s">
        <v>207</v>
      </c>
      <c r="AZ17" s="176" t="s">
        <v>638</v>
      </c>
      <c r="BA17" s="609" t="s">
        <v>1040</v>
      </c>
      <c r="BB17" s="611"/>
      <c r="BC17" s="438">
        <v>1604</v>
      </c>
      <c r="BD17" s="439">
        <v>38618</v>
      </c>
      <c r="BE17" s="124">
        <v>38644</v>
      </c>
      <c r="BF17" s="154">
        <v>2004</v>
      </c>
      <c r="BG17" s="154">
        <v>2004</v>
      </c>
      <c r="BH17" s="123">
        <f t="shared" si="24"/>
        <v>3846041.76</v>
      </c>
      <c r="BJ17" s="133" t="s">
        <v>1325</v>
      </c>
      <c r="BK17" s="127" t="s">
        <v>1301</v>
      </c>
      <c r="BL17" s="134">
        <v>38659</v>
      </c>
      <c r="BM17" s="134">
        <v>38625</v>
      </c>
      <c r="BN17" s="134">
        <v>38611</v>
      </c>
      <c r="BO17" s="108">
        <f>18+15+3.5</f>
        <v>36.5</v>
      </c>
      <c r="BP17" s="124">
        <v>39979</v>
      </c>
      <c r="BQ17" s="135">
        <f t="shared" si="25"/>
        <v>461436</v>
      </c>
      <c r="BR17" s="135">
        <f t="shared" si="26"/>
        <v>392220.6</v>
      </c>
      <c r="BS17" s="135">
        <f t="shared" si="27"/>
        <v>69215.4</v>
      </c>
      <c r="BT17" s="136">
        <v>1699</v>
      </c>
      <c r="BU17" s="137">
        <v>38659</v>
      </c>
      <c r="BV17" s="136"/>
      <c r="BW17" s="136"/>
      <c r="BX17" s="136"/>
      <c r="BY17" s="136" t="s">
        <v>248</v>
      </c>
      <c r="BZ17" s="137">
        <v>38680</v>
      </c>
      <c r="CA17" s="139">
        <f>392220.6+69215.4</f>
        <v>461436</v>
      </c>
      <c r="CB17" s="168">
        <f>26428.69+95900</f>
        <v>122328.69</v>
      </c>
      <c r="CC17" s="140">
        <v>39231</v>
      </c>
      <c r="CD17" s="141">
        <f>+CB17*0.8</f>
        <v>97862.952</v>
      </c>
      <c r="CE17" s="141">
        <f>+CD17*0.85</f>
        <v>83183.5092</v>
      </c>
      <c r="CF17" s="141">
        <f>+CD17*0.15</f>
        <v>14679.4428</v>
      </c>
      <c r="CG17" s="125">
        <v>441</v>
      </c>
      <c r="CH17" s="124">
        <v>39419</v>
      </c>
      <c r="CI17" s="143" t="s">
        <v>1083</v>
      </c>
      <c r="CJ17" s="137">
        <v>39419</v>
      </c>
      <c r="CK17" s="168">
        <f>+CD17</f>
        <v>97862.952</v>
      </c>
      <c r="CL17" s="123">
        <v>315423.27</v>
      </c>
      <c r="CM17" s="124">
        <v>39470</v>
      </c>
      <c r="CN17" s="143">
        <f>+CL17*0.8</f>
        <v>252338.61600000004</v>
      </c>
      <c r="CO17" s="327">
        <f t="shared" si="50"/>
        <v>214487.82360000003</v>
      </c>
      <c r="CP17" s="327">
        <f t="shared" si="51"/>
        <v>37850.792400000006</v>
      </c>
      <c r="CQ17" s="125">
        <v>178</v>
      </c>
      <c r="CR17" s="124">
        <v>39583</v>
      </c>
      <c r="CS17" s="143" t="s">
        <v>440</v>
      </c>
      <c r="CT17" s="124">
        <v>39622</v>
      </c>
      <c r="CU17" s="122">
        <f>CN17</f>
        <v>252338.61600000004</v>
      </c>
      <c r="CV17" s="122">
        <v>199593.71</v>
      </c>
      <c r="CW17" s="124">
        <v>39583</v>
      </c>
      <c r="CX17" s="327">
        <f>+CV17*0.8</f>
        <v>159674.968</v>
      </c>
      <c r="CY17" s="327">
        <f>+CX17*0.85</f>
        <v>135723.7228</v>
      </c>
      <c r="CZ17" s="327">
        <f>+CX17*0.15</f>
        <v>23951.245199999998</v>
      </c>
      <c r="DA17" s="125">
        <v>287</v>
      </c>
      <c r="DB17" s="124">
        <v>39653</v>
      </c>
      <c r="DC17" s="143" t="s">
        <v>1122</v>
      </c>
      <c r="DD17" s="124">
        <v>39668</v>
      </c>
      <c r="DE17" s="123">
        <f>CX17</f>
        <v>159674.968</v>
      </c>
      <c r="DF17" s="139">
        <f>343870.67-235.02</f>
        <v>343635.64999999997</v>
      </c>
      <c r="DG17" s="124"/>
      <c r="DH17" s="327">
        <f>+DF17*0.8</f>
        <v>274908.51999999996</v>
      </c>
      <c r="DI17" s="327">
        <f>+DH17*0.85</f>
        <v>233672.24199999997</v>
      </c>
      <c r="DJ17" s="327">
        <f>+DH17*0.15</f>
        <v>41236.27799999999</v>
      </c>
      <c r="DK17" s="246">
        <v>563</v>
      </c>
      <c r="DL17" s="124">
        <v>39772</v>
      </c>
      <c r="DM17" s="143" t="s">
        <v>234</v>
      </c>
      <c r="DN17" s="124">
        <v>39791</v>
      </c>
      <c r="DO17" s="123">
        <f>+DH17</f>
        <v>274908.51999999996</v>
      </c>
      <c r="DP17" s="123">
        <v>273685.76</v>
      </c>
      <c r="DQ17" s="124">
        <v>39835</v>
      </c>
      <c r="DR17" s="327">
        <v>132959.4711999998</v>
      </c>
      <c r="DS17" s="327">
        <f>+DR17*0.85</f>
        <v>113015.55051999983</v>
      </c>
      <c r="DT17" s="327">
        <f>+DR17*0.15</f>
        <v>19943.92067999997</v>
      </c>
      <c r="DU17" s="125">
        <v>65</v>
      </c>
      <c r="DV17" s="137">
        <v>39850</v>
      </c>
      <c r="DW17" s="143" t="s">
        <v>1026</v>
      </c>
      <c r="DX17" s="139">
        <v>39861</v>
      </c>
      <c r="DY17" s="139">
        <f>+DR17</f>
        <v>132959.4711999998</v>
      </c>
      <c r="DZ17" s="139">
        <v>340743.43</v>
      </c>
      <c r="EA17" s="137">
        <v>39958</v>
      </c>
      <c r="EB17" s="327">
        <v>0</v>
      </c>
      <c r="EC17" s="327">
        <f>+EB17*0.85</f>
        <v>0</v>
      </c>
      <c r="ED17" s="327">
        <f>+EB17*0.15</f>
        <v>0</v>
      </c>
      <c r="EE17" s="157"/>
      <c r="EF17" s="137"/>
      <c r="EG17" s="139"/>
      <c r="EH17" s="137"/>
      <c r="EI17" s="123">
        <f>+EB17</f>
        <v>0</v>
      </c>
      <c r="EJ17" s="139">
        <v>212629.61</v>
      </c>
      <c r="EK17" s="124">
        <v>40028</v>
      </c>
      <c r="EL17" s="139">
        <v>0</v>
      </c>
      <c r="EM17" s="139">
        <v>0</v>
      </c>
      <c r="EN17" s="139">
        <v>0</v>
      </c>
      <c r="EO17" s="157"/>
      <c r="EP17" s="137"/>
      <c r="EQ17" s="139"/>
      <c r="ER17" s="137"/>
      <c r="ES17" s="139">
        <v>0</v>
      </c>
      <c r="ET17" s="139"/>
      <c r="EU17" s="137"/>
      <c r="EV17" s="139"/>
      <c r="EW17" s="139"/>
      <c r="EX17" s="139"/>
      <c r="EY17" s="139"/>
      <c r="EZ17" s="139"/>
      <c r="FA17" s="139"/>
      <c r="FB17" s="139"/>
      <c r="FC17" s="139"/>
      <c r="FD17" s="388">
        <f t="shared" si="52"/>
        <v>1379180.5272</v>
      </c>
      <c r="FE17" s="388">
        <f t="shared" si="7"/>
        <v>917744.5271999998</v>
      </c>
      <c r="FF17" s="159">
        <f t="shared" si="53"/>
        <v>461436</v>
      </c>
      <c r="FG17" s="147">
        <f t="shared" si="9"/>
        <v>1814711.22</v>
      </c>
      <c r="FH17" s="147">
        <f t="shared" si="45"/>
        <v>1808040.12</v>
      </c>
      <c r="FI17" s="145">
        <f t="shared" si="28"/>
        <v>6671.09999999986</v>
      </c>
      <c r="FJ17" s="421">
        <f t="shared" si="29"/>
        <v>0.9963238779115501</v>
      </c>
      <c r="FK17" s="147">
        <f t="shared" si="30"/>
        <v>1451768.976</v>
      </c>
      <c r="FL17" s="147">
        <f t="shared" si="31"/>
        <v>461436</v>
      </c>
      <c r="FM17" s="135">
        <f t="shared" si="46"/>
        <v>917744.5271999998</v>
      </c>
      <c r="FN17" s="418">
        <f t="shared" si="32"/>
        <v>0.95</v>
      </c>
      <c r="FO17" s="135">
        <f t="shared" si="47"/>
        <v>1379180.5272</v>
      </c>
      <c r="FP17" s="147">
        <f t="shared" si="33"/>
        <v>72588.44880000013</v>
      </c>
      <c r="FQ17" s="423">
        <f t="shared" si="34"/>
        <v>0.63215604023212</v>
      </c>
      <c r="FR17" s="117">
        <f>+N17-FH17</f>
        <v>6671.09999999986</v>
      </c>
      <c r="FS17" s="493" t="s">
        <v>598</v>
      </c>
      <c r="FT17" s="135" t="s">
        <v>1337</v>
      </c>
      <c r="FU17" s="135"/>
    </row>
    <row r="18" spans="1:188" s="127" customFormat="1" ht="12.75" customHeight="1">
      <c r="A18" s="597" t="s">
        <v>183</v>
      </c>
      <c r="B18" s="120">
        <f t="shared" si="14"/>
        <v>16</v>
      </c>
      <c r="C18" s="120"/>
      <c r="D18" s="120">
        <v>16</v>
      </c>
      <c r="E18" s="479" t="s">
        <v>36</v>
      </c>
      <c r="F18" s="479" t="s">
        <v>1222</v>
      </c>
      <c r="G18" s="121" t="s">
        <v>132</v>
      </c>
      <c r="H18" s="122">
        <v>2500000</v>
      </c>
      <c r="I18" s="123" t="s">
        <v>1168</v>
      </c>
      <c r="J18" s="123" t="str">
        <f t="shared" si="1"/>
        <v>è</v>
      </c>
      <c r="K18" s="122">
        <v>0</v>
      </c>
      <c r="L18" s="122"/>
      <c r="M18" s="122">
        <f t="shared" si="15"/>
        <v>2500000</v>
      </c>
      <c r="N18" s="122">
        <f>+M18</f>
        <v>2500000</v>
      </c>
      <c r="O18" s="122"/>
      <c r="P18" s="122"/>
      <c r="Q18" s="122"/>
      <c r="R18" s="122"/>
      <c r="S18" s="122"/>
      <c r="T18" s="404">
        <f t="shared" si="37"/>
        <v>2000000</v>
      </c>
      <c r="U18" s="372">
        <f t="shared" si="18"/>
        <v>2487987.1799999997</v>
      </c>
      <c r="V18" s="122">
        <f t="shared" si="19"/>
        <v>2500000</v>
      </c>
      <c r="W18" s="122">
        <f t="shared" si="20"/>
        <v>1250000</v>
      </c>
      <c r="X18" s="122">
        <f t="shared" si="2"/>
        <v>750000</v>
      </c>
      <c r="Y18" s="155">
        <f t="shared" si="21"/>
        <v>2000000</v>
      </c>
      <c r="Z18" s="122">
        <f t="shared" si="22"/>
        <v>300000</v>
      </c>
      <c r="AA18" s="122">
        <f t="shared" si="35"/>
        <v>1000000</v>
      </c>
      <c r="AB18" s="122">
        <f t="shared" si="36"/>
        <v>700000</v>
      </c>
      <c r="AC18" s="122">
        <f t="shared" si="23"/>
        <v>1700000</v>
      </c>
      <c r="AD18" s="122">
        <f t="shared" si="3"/>
        <v>500000</v>
      </c>
      <c r="AE18" s="122">
        <f t="shared" si="49"/>
        <v>0</v>
      </c>
      <c r="AF18" s="160" t="s">
        <v>23</v>
      </c>
      <c r="AG18" s="143" t="s">
        <v>34</v>
      </c>
      <c r="AH18" s="126">
        <v>38197</v>
      </c>
      <c r="AI18" s="129" t="s">
        <v>24</v>
      </c>
      <c r="AJ18" s="124">
        <v>38198</v>
      </c>
      <c r="AK18" s="129" t="s">
        <v>25</v>
      </c>
      <c r="AL18" s="126"/>
      <c r="AM18" s="120"/>
      <c r="AN18" s="120" t="s">
        <v>1222</v>
      </c>
      <c r="AO18" s="120" t="s">
        <v>1275</v>
      </c>
      <c r="AP18" s="127" t="s">
        <v>534</v>
      </c>
      <c r="AQ18" s="163">
        <v>1</v>
      </c>
      <c r="AR18" s="120">
        <v>73100</v>
      </c>
      <c r="AS18" s="121" t="s">
        <v>27</v>
      </c>
      <c r="AT18" s="121" t="s">
        <v>28</v>
      </c>
      <c r="AU18" s="121" t="s">
        <v>30</v>
      </c>
      <c r="AV18" s="150" t="s">
        <v>32</v>
      </c>
      <c r="AW18" s="125">
        <v>80008510754</v>
      </c>
      <c r="AX18" s="129" t="s">
        <v>26</v>
      </c>
      <c r="AY18" s="130" t="s">
        <v>123</v>
      </c>
      <c r="AZ18" s="130" t="s">
        <v>124</v>
      </c>
      <c r="BA18" s="609" t="s">
        <v>1059</v>
      </c>
      <c r="BB18" s="609"/>
      <c r="BC18" s="438">
        <v>215</v>
      </c>
      <c r="BD18" s="439">
        <v>38421</v>
      </c>
      <c r="BE18" s="160">
        <v>38472</v>
      </c>
      <c r="BF18" s="132" t="s">
        <v>125</v>
      </c>
      <c r="BG18" s="132" t="s">
        <v>126</v>
      </c>
      <c r="BH18" s="123">
        <f t="shared" si="24"/>
        <v>1846041.7599999998</v>
      </c>
      <c r="BI18" s="150" t="s">
        <v>33</v>
      </c>
      <c r="BJ18" s="133" t="s">
        <v>1325</v>
      </c>
      <c r="BK18" s="127" t="s">
        <v>1301</v>
      </c>
      <c r="BL18" s="134">
        <v>38533</v>
      </c>
      <c r="BM18" s="134">
        <v>38546</v>
      </c>
      <c r="BN18" s="134">
        <v>38504</v>
      </c>
      <c r="BO18" s="108">
        <f>18+6+12+4.03+1</f>
        <v>41.03</v>
      </c>
      <c r="BP18" s="481">
        <f>BN18+(BO18*365/12)</f>
        <v>39751.995833333334</v>
      </c>
      <c r="BQ18" s="135">
        <f t="shared" si="25"/>
        <v>600000</v>
      </c>
      <c r="BR18" s="135">
        <f t="shared" si="26"/>
        <v>510000</v>
      </c>
      <c r="BS18" s="135">
        <f t="shared" si="27"/>
        <v>90000</v>
      </c>
      <c r="BT18" s="136">
        <v>1531</v>
      </c>
      <c r="BU18" s="137">
        <v>38567</v>
      </c>
      <c r="BV18" s="138" t="s">
        <v>125</v>
      </c>
      <c r="BW18" s="138" t="s">
        <v>156</v>
      </c>
      <c r="BX18" s="136">
        <v>8195</v>
      </c>
      <c r="BY18" s="138" t="s">
        <v>159</v>
      </c>
      <c r="BZ18" s="137">
        <v>38610</v>
      </c>
      <c r="CA18" s="139">
        <f>510000+90000</f>
        <v>600000</v>
      </c>
      <c r="CB18" s="168">
        <v>41620</v>
      </c>
      <c r="CC18" s="140">
        <v>38702</v>
      </c>
      <c r="CD18" s="141">
        <f>+CB18*0.8</f>
        <v>33296</v>
      </c>
      <c r="CE18" s="141">
        <f>+CD18*0.85</f>
        <v>28301.6</v>
      </c>
      <c r="CF18" s="141">
        <f>+CD18*0.15</f>
        <v>4994.4</v>
      </c>
      <c r="CG18" s="142">
        <v>377</v>
      </c>
      <c r="CH18" s="173">
        <v>38846</v>
      </c>
      <c r="CI18" s="141" t="s">
        <v>423</v>
      </c>
      <c r="CJ18" s="167">
        <v>38875</v>
      </c>
      <c r="CK18" s="177">
        <f>28301.6+4994.5</f>
        <v>33296.1</v>
      </c>
      <c r="CL18" s="123">
        <v>127311.18</v>
      </c>
      <c r="CM18" s="256">
        <v>39224</v>
      </c>
      <c r="CN18" s="327">
        <v>135144.944</v>
      </c>
      <c r="CO18" s="327">
        <f t="shared" si="50"/>
        <v>114873.20239999998</v>
      </c>
      <c r="CP18" s="327">
        <f t="shared" si="51"/>
        <v>20271.741599999998</v>
      </c>
      <c r="CQ18" s="246">
        <v>230</v>
      </c>
      <c r="CR18" s="256">
        <v>39287</v>
      </c>
      <c r="CS18" s="274" t="s">
        <v>727</v>
      </c>
      <c r="CT18" s="256">
        <v>39315</v>
      </c>
      <c r="CU18" s="242">
        <f>CN18</f>
        <v>135144.944</v>
      </c>
      <c r="CV18" s="258">
        <v>2298461.59</v>
      </c>
      <c r="CW18" s="256"/>
      <c r="CX18" s="327">
        <v>1131559.056</v>
      </c>
      <c r="CY18" s="327">
        <f>+CX18*0.85</f>
        <v>961825.1976000001</v>
      </c>
      <c r="CZ18" s="327">
        <f>+CX18*0.15</f>
        <v>169733.8584</v>
      </c>
      <c r="DA18" s="246">
        <v>561</v>
      </c>
      <c r="DB18" s="256">
        <v>39772</v>
      </c>
      <c r="DC18" s="143" t="s">
        <v>318</v>
      </c>
      <c r="DD18" s="256">
        <v>39784</v>
      </c>
      <c r="DE18" s="123">
        <f>CX18</f>
        <v>1131559.056</v>
      </c>
      <c r="DF18" s="177">
        <v>20594.41</v>
      </c>
      <c r="DG18" s="256">
        <v>39797</v>
      </c>
      <c r="DH18" s="327">
        <v>0</v>
      </c>
      <c r="DI18" s="110"/>
      <c r="DJ18" s="327">
        <f>+DH18*0.15</f>
        <v>0</v>
      </c>
      <c r="DK18" s="276"/>
      <c r="DL18" s="178"/>
      <c r="DM18" s="177"/>
      <c r="DN18" s="178"/>
      <c r="DO18" s="123">
        <f>+DH18</f>
        <v>0</v>
      </c>
      <c r="DP18" s="258"/>
      <c r="DQ18" s="256"/>
      <c r="DR18" s="258"/>
      <c r="DS18" s="258"/>
      <c r="DT18" s="258"/>
      <c r="DU18" s="271"/>
      <c r="DV18" s="178"/>
      <c r="DW18" s="177"/>
      <c r="DX18" s="177"/>
      <c r="DY18" s="177"/>
      <c r="DZ18" s="177"/>
      <c r="EA18" s="178"/>
      <c r="EB18" s="177"/>
      <c r="EC18" s="177"/>
      <c r="ED18" s="177"/>
      <c r="EE18" s="276"/>
      <c r="EF18" s="178"/>
      <c r="EG18" s="177"/>
      <c r="EH18" s="178"/>
      <c r="EI18" s="177"/>
      <c r="EJ18" s="177"/>
      <c r="EK18" s="178"/>
      <c r="EL18" s="177"/>
      <c r="EM18" s="177"/>
      <c r="EN18" s="177"/>
      <c r="EO18" s="276"/>
      <c r="EP18" s="178"/>
      <c r="EQ18" s="177"/>
      <c r="ER18" s="178"/>
      <c r="ES18" s="177"/>
      <c r="ET18" s="177"/>
      <c r="EU18" s="178"/>
      <c r="EV18" s="177"/>
      <c r="EW18" s="177"/>
      <c r="EX18" s="177"/>
      <c r="EY18" s="177"/>
      <c r="EZ18" s="177"/>
      <c r="FA18" s="177"/>
      <c r="FB18" s="177"/>
      <c r="FC18" s="177"/>
      <c r="FD18" s="388">
        <f t="shared" si="52"/>
        <v>1900000.1</v>
      </c>
      <c r="FE18" s="388">
        <f t="shared" si="7"/>
        <v>1300000.1</v>
      </c>
      <c r="FF18" s="159">
        <f t="shared" si="53"/>
        <v>600000</v>
      </c>
      <c r="FG18" s="147">
        <f t="shared" si="9"/>
        <v>2500000</v>
      </c>
      <c r="FH18" s="147">
        <f t="shared" si="45"/>
        <v>2487987.1799999997</v>
      </c>
      <c r="FI18" s="145">
        <f t="shared" si="28"/>
        <v>12012.820000000298</v>
      </c>
      <c r="FJ18" s="432">
        <f t="shared" si="29"/>
        <v>0.9951948719999999</v>
      </c>
      <c r="FK18" s="147">
        <f t="shared" si="30"/>
        <v>2000000</v>
      </c>
      <c r="FL18" s="147">
        <f t="shared" si="31"/>
        <v>600000</v>
      </c>
      <c r="FM18" s="135">
        <f t="shared" si="46"/>
        <v>1300000</v>
      </c>
      <c r="FN18" s="410">
        <f t="shared" si="32"/>
        <v>0.95</v>
      </c>
      <c r="FO18" s="135">
        <f t="shared" si="47"/>
        <v>1900000</v>
      </c>
      <c r="FP18" s="147">
        <f t="shared" si="33"/>
        <v>100000</v>
      </c>
      <c r="FQ18" s="423">
        <f t="shared" si="34"/>
        <v>0.65</v>
      </c>
      <c r="FR18" s="117">
        <f>+N18-FH18</f>
        <v>12012.820000000298</v>
      </c>
      <c r="FS18" s="491" t="s">
        <v>599</v>
      </c>
      <c r="FT18" s="483" t="s">
        <v>546</v>
      </c>
      <c r="FU18" s="232" t="s">
        <v>539</v>
      </c>
      <c r="FV18" s="492" t="s">
        <v>998</v>
      </c>
      <c r="FW18" s="127">
        <f>2613.39+2882.58+2674.64</f>
        <v>8170.609999999999</v>
      </c>
      <c r="FX18" s="492" t="s">
        <v>999</v>
      </c>
      <c r="FY18" s="593">
        <f>+FH18*0.8</f>
        <v>1990389.744</v>
      </c>
      <c r="FZ18" s="312">
        <f>+FH18*0.8-FO18</f>
        <v>90389.74399999995</v>
      </c>
      <c r="GA18" s="312">
        <f>+FZ18*0.85</f>
        <v>76831.28239999995</v>
      </c>
      <c r="GB18" s="312">
        <f>+FZ18*0.15</f>
        <v>13558.461599999991</v>
      </c>
      <c r="GC18" s="312">
        <f>+FG18*0.8-FH18*0.8</f>
        <v>9610.256000000052</v>
      </c>
      <c r="GD18" s="312">
        <f>+GC18*0.85</f>
        <v>8168.7176000000445</v>
      </c>
      <c r="GE18" s="312">
        <f>+GC18*0.15</f>
        <v>1441.5384000000079</v>
      </c>
      <c r="GF18" s="589" t="s">
        <v>717</v>
      </c>
    </row>
    <row r="19" spans="1:176" s="462" customFormat="1" ht="12.75" customHeight="1">
      <c r="A19" s="597" t="s">
        <v>192</v>
      </c>
      <c r="B19" s="108">
        <f t="shared" si="14"/>
        <v>17</v>
      </c>
      <c r="C19" s="108"/>
      <c r="D19" s="108">
        <v>17</v>
      </c>
      <c r="E19" s="109" t="s">
        <v>1226</v>
      </c>
      <c r="F19" s="109" t="s">
        <v>371</v>
      </c>
      <c r="G19" s="109" t="s">
        <v>37</v>
      </c>
      <c r="H19" s="110">
        <v>637500</v>
      </c>
      <c r="I19" s="111" t="s">
        <v>1168</v>
      </c>
      <c r="J19" s="111" t="str">
        <f t="shared" si="1"/>
        <v>è</v>
      </c>
      <c r="K19" s="110">
        <v>0</v>
      </c>
      <c r="L19" s="110"/>
      <c r="M19" s="110">
        <f t="shared" si="15"/>
        <v>637500</v>
      </c>
      <c r="N19" s="110">
        <f>+M19</f>
        <v>637500</v>
      </c>
      <c r="O19" s="110">
        <f>+N19*0.7</f>
        <v>446250</v>
      </c>
      <c r="P19" s="393">
        <f>+O19*0.8</f>
        <v>357000</v>
      </c>
      <c r="Q19" s="122">
        <f>+P19*0.85</f>
        <v>303450</v>
      </c>
      <c r="R19" s="122">
        <f>+P19*0.15</f>
        <v>53550</v>
      </c>
      <c r="S19" s="158" t="s">
        <v>462</v>
      </c>
      <c r="T19" s="453">
        <f>+Y19-P19</f>
        <v>153000</v>
      </c>
      <c r="U19" s="162">
        <f t="shared" si="18"/>
        <v>0</v>
      </c>
      <c r="V19" s="426">
        <f t="shared" si="19"/>
        <v>637500</v>
      </c>
      <c r="W19" s="426">
        <f t="shared" si="20"/>
        <v>318750</v>
      </c>
      <c r="X19" s="426">
        <f t="shared" si="2"/>
        <v>191250</v>
      </c>
      <c r="Y19" s="454">
        <f t="shared" si="21"/>
        <v>510000</v>
      </c>
      <c r="Z19" s="455">
        <f t="shared" si="22"/>
        <v>76500</v>
      </c>
      <c r="AA19" s="455">
        <f t="shared" si="35"/>
        <v>255000</v>
      </c>
      <c r="AB19" s="455">
        <f t="shared" si="36"/>
        <v>178500</v>
      </c>
      <c r="AC19" s="455">
        <f t="shared" si="23"/>
        <v>433500</v>
      </c>
      <c r="AD19" s="455">
        <f t="shared" si="3"/>
        <v>127500</v>
      </c>
      <c r="AE19" s="455">
        <f t="shared" si="49"/>
        <v>0</v>
      </c>
      <c r="AF19" s="456" t="s">
        <v>23</v>
      </c>
      <c r="AG19" s="457" t="s">
        <v>166</v>
      </c>
      <c r="AH19" s="458">
        <v>38203</v>
      </c>
      <c r="AI19" s="459">
        <v>23678</v>
      </c>
      <c r="AJ19" s="460">
        <v>38229</v>
      </c>
      <c r="AK19" s="459">
        <v>6766</v>
      </c>
      <c r="AL19" s="458"/>
      <c r="AM19" s="461"/>
      <c r="AN19" s="461" t="s">
        <v>1227</v>
      </c>
      <c r="AO19" s="461" t="s">
        <v>18</v>
      </c>
      <c r="AP19" s="462" t="s">
        <v>165</v>
      </c>
      <c r="AQ19" s="461">
        <v>21</v>
      </c>
      <c r="AR19" s="461">
        <v>74024</v>
      </c>
      <c r="AS19" s="463" t="s">
        <v>755</v>
      </c>
      <c r="AT19" s="463" t="s">
        <v>402</v>
      </c>
      <c r="AU19" s="463" t="s">
        <v>403</v>
      </c>
      <c r="AV19" s="113" t="s">
        <v>404</v>
      </c>
      <c r="AW19" s="464" t="s">
        <v>164</v>
      </c>
      <c r="AX19" s="464" t="s">
        <v>26</v>
      </c>
      <c r="AY19" s="465" t="s">
        <v>399</v>
      </c>
      <c r="AZ19" s="465" t="s">
        <v>400</v>
      </c>
      <c r="BA19" s="405" t="s">
        <v>405</v>
      </c>
      <c r="BB19" s="464" t="s">
        <v>401</v>
      </c>
      <c r="BC19" s="436">
        <v>1629</v>
      </c>
      <c r="BD19" s="437">
        <v>38635</v>
      </c>
      <c r="BE19" s="460">
        <v>38671</v>
      </c>
      <c r="BF19" s="466" t="s">
        <v>214</v>
      </c>
      <c r="BG19" s="467" t="s">
        <v>215</v>
      </c>
      <c r="BH19" s="468">
        <f t="shared" si="24"/>
        <v>1336041.7599999998</v>
      </c>
      <c r="BJ19" s="115" t="s">
        <v>1325</v>
      </c>
      <c r="BK19" s="469" t="s">
        <v>1301</v>
      </c>
      <c r="BL19" s="470">
        <v>38856</v>
      </c>
      <c r="BM19" s="470">
        <v>38897</v>
      </c>
      <c r="BN19" s="470">
        <v>38833</v>
      </c>
      <c r="BO19" s="471">
        <f>18+6</f>
        <v>24</v>
      </c>
      <c r="BP19" s="472">
        <f>BN19+(BO19*365/12)</f>
        <v>39563</v>
      </c>
      <c r="BQ19" s="473">
        <f t="shared" si="25"/>
        <v>153000</v>
      </c>
      <c r="BR19" s="473">
        <f t="shared" si="26"/>
        <v>130050</v>
      </c>
      <c r="BS19" s="473">
        <f t="shared" si="27"/>
        <v>22950</v>
      </c>
      <c r="BT19" s="471">
        <v>776</v>
      </c>
      <c r="BU19" s="472">
        <v>38919</v>
      </c>
      <c r="BV19" s="471"/>
      <c r="BW19" s="471"/>
      <c r="BX19" s="471">
        <v>12296</v>
      </c>
      <c r="BY19" s="474" t="s">
        <v>455</v>
      </c>
      <c r="BZ19" s="472">
        <v>38972</v>
      </c>
      <c r="CA19" s="475">
        <f>130050+22950</f>
        <v>153000</v>
      </c>
      <c r="CB19" s="426"/>
      <c r="CC19" s="476"/>
      <c r="CD19" s="475"/>
      <c r="CE19" s="475"/>
      <c r="CF19" s="475"/>
      <c r="CG19" s="475"/>
      <c r="CH19" s="472"/>
      <c r="CI19" s="475"/>
      <c r="CJ19" s="476"/>
      <c r="CK19" s="475"/>
      <c r="CL19" s="127"/>
      <c r="CM19" s="124"/>
      <c r="CN19" s="123"/>
      <c r="CO19" s="122"/>
      <c r="CP19" s="122"/>
      <c r="CQ19" s="125"/>
      <c r="CR19" s="124"/>
      <c r="CS19" s="123"/>
      <c r="CT19" s="124"/>
      <c r="CU19" s="122"/>
      <c r="CV19" s="123"/>
      <c r="CW19" s="124"/>
      <c r="CX19" s="123"/>
      <c r="CY19" s="123"/>
      <c r="CZ19" s="123"/>
      <c r="DA19" s="125"/>
      <c r="DB19" s="124"/>
      <c r="DC19" s="123"/>
      <c r="DD19" s="124"/>
      <c r="DE19" s="123"/>
      <c r="DF19" s="475"/>
      <c r="DG19" s="472"/>
      <c r="DH19" s="475"/>
      <c r="DI19" s="475"/>
      <c r="DJ19" s="475"/>
      <c r="DK19" s="405"/>
      <c r="DL19" s="472"/>
      <c r="DM19" s="475"/>
      <c r="DN19" s="472"/>
      <c r="DO19" s="123"/>
      <c r="DP19" s="123"/>
      <c r="DQ19" s="124"/>
      <c r="DR19" s="123"/>
      <c r="DS19" s="123"/>
      <c r="DT19" s="123"/>
      <c r="DU19" s="125"/>
      <c r="DV19" s="472"/>
      <c r="DW19" s="475"/>
      <c r="DX19" s="475"/>
      <c r="DY19" s="475"/>
      <c r="DZ19" s="475"/>
      <c r="EA19" s="472"/>
      <c r="EB19" s="475"/>
      <c r="EC19" s="475"/>
      <c r="ED19" s="475"/>
      <c r="EE19" s="405"/>
      <c r="EF19" s="472"/>
      <c r="EG19" s="475"/>
      <c r="EH19" s="472"/>
      <c r="EI19" s="475"/>
      <c r="EJ19" s="475"/>
      <c r="EK19" s="472"/>
      <c r="EL19" s="475"/>
      <c r="EM19" s="475"/>
      <c r="EN19" s="475"/>
      <c r="EO19" s="405"/>
      <c r="EP19" s="472"/>
      <c r="EQ19" s="475"/>
      <c r="ER19" s="472"/>
      <c r="ES19" s="475"/>
      <c r="ET19" s="475"/>
      <c r="EU19" s="472"/>
      <c r="EV19" s="475"/>
      <c r="EW19" s="475"/>
      <c r="EX19" s="475"/>
      <c r="EY19" s="475"/>
      <c r="EZ19" s="475"/>
      <c r="FA19" s="475"/>
      <c r="FB19" s="475"/>
      <c r="FC19" s="475"/>
      <c r="FD19" s="454">
        <f t="shared" si="52"/>
        <v>153000</v>
      </c>
      <c r="FE19" s="388">
        <f t="shared" si="7"/>
        <v>0</v>
      </c>
      <c r="FF19" s="454">
        <f t="shared" si="53"/>
        <v>153000</v>
      </c>
      <c r="FG19" s="477">
        <f t="shared" si="9"/>
        <v>637500</v>
      </c>
      <c r="FH19" s="147">
        <f t="shared" si="45"/>
        <v>0</v>
      </c>
      <c r="FI19" s="117">
        <f t="shared" si="28"/>
        <v>637500</v>
      </c>
      <c r="FJ19" s="379">
        <f t="shared" si="29"/>
        <v>0</v>
      </c>
      <c r="FK19" s="473">
        <f t="shared" si="30"/>
        <v>153000</v>
      </c>
      <c r="FL19" s="473">
        <f t="shared" si="31"/>
        <v>153000</v>
      </c>
      <c r="FM19" s="135">
        <f t="shared" si="46"/>
        <v>0</v>
      </c>
      <c r="FN19" s="410">
        <f t="shared" si="32"/>
        <v>1</v>
      </c>
      <c r="FO19" s="135">
        <f t="shared" si="47"/>
        <v>153000</v>
      </c>
      <c r="FP19" s="117">
        <f t="shared" si="33"/>
        <v>0</v>
      </c>
      <c r="FQ19" s="478">
        <f t="shared" si="34"/>
        <v>0</v>
      </c>
      <c r="FR19" s="117">
        <f>+N19-FH19</f>
        <v>637500</v>
      </c>
      <c r="FT19" s="477"/>
    </row>
    <row r="20" spans="1:188" s="127" customFormat="1" ht="12.75" customHeight="1">
      <c r="A20" s="597" t="s">
        <v>191</v>
      </c>
      <c r="B20" s="120">
        <f t="shared" si="14"/>
        <v>18</v>
      </c>
      <c r="C20" s="120"/>
      <c r="D20" s="120">
        <v>18</v>
      </c>
      <c r="E20" s="479" t="s">
        <v>21</v>
      </c>
      <c r="F20" s="479" t="s">
        <v>1211</v>
      </c>
      <c r="G20" s="121" t="s">
        <v>167</v>
      </c>
      <c r="H20" s="122">
        <v>686720</v>
      </c>
      <c r="I20" s="123" t="s">
        <v>1168</v>
      </c>
      <c r="J20" s="123" t="str">
        <f t="shared" si="1"/>
        <v>è</v>
      </c>
      <c r="K20" s="122">
        <v>48500</v>
      </c>
      <c r="L20" s="122"/>
      <c r="M20" s="122">
        <f t="shared" si="15"/>
        <v>638220</v>
      </c>
      <c r="N20" s="122">
        <f>+M20</f>
        <v>638220</v>
      </c>
      <c r="O20" s="122"/>
      <c r="P20" s="122"/>
      <c r="Q20" s="122"/>
      <c r="R20" s="122"/>
      <c r="S20" s="122"/>
      <c r="T20" s="327">
        <f t="shared" si="37"/>
        <v>510576</v>
      </c>
      <c r="U20" s="372">
        <f t="shared" si="18"/>
        <v>637731.6100000001</v>
      </c>
      <c r="V20" s="122">
        <f t="shared" si="19"/>
        <v>638220</v>
      </c>
      <c r="W20" s="122">
        <f t="shared" si="20"/>
        <v>319110</v>
      </c>
      <c r="X20" s="122">
        <f t="shared" si="2"/>
        <v>191466</v>
      </c>
      <c r="Y20" s="155">
        <f t="shared" si="21"/>
        <v>510576</v>
      </c>
      <c r="Z20" s="122">
        <f t="shared" si="22"/>
        <v>76586.4</v>
      </c>
      <c r="AA20" s="122">
        <f t="shared" si="35"/>
        <v>255288</v>
      </c>
      <c r="AB20" s="122">
        <f t="shared" si="36"/>
        <v>178701.59999999998</v>
      </c>
      <c r="AC20" s="122">
        <f t="shared" si="23"/>
        <v>433989.6</v>
      </c>
      <c r="AD20" s="122">
        <f t="shared" si="3"/>
        <v>127644</v>
      </c>
      <c r="AE20" s="122">
        <f t="shared" si="49"/>
        <v>48500</v>
      </c>
      <c r="AF20" s="124">
        <v>37776</v>
      </c>
      <c r="AG20" s="143" t="s">
        <v>35</v>
      </c>
      <c r="AH20" s="126">
        <v>38167</v>
      </c>
      <c r="AI20" s="125">
        <v>24050</v>
      </c>
      <c r="AJ20" s="124">
        <v>38175</v>
      </c>
      <c r="AK20" s="125">
        <v>6162</v>
      </c>
      <c r="AL20" s="126"/>
      <c r="AM20" s="120"/>
      <c r="AN20" s="120" t="s">
        <v>1211</v>
      </c>
      <c r="AO20" s="120" t="s">
        <v>14</v>
      </c>
      <c r="AP20" s="127" t="s">
        <v>19</v>
      </c>
      <c r="AQ20" s="163">
        <v>1</v>
      </c>
      <c r="AR20" s="120">
        <v>72015</v>
      </c>
      <c r="AS20" s="121" t="s">
        <v>687</v>
      </c>
      <c r="AT20" s="121" t="s">
        <v>161</v>
      </c>
      <c r="AU20" s="121" t="s">
        <v>253</v>
      </c>
      <c r="AV20" s="488" t="s">
        <v>254</v>
      </c>
      <c r="AW20" s="129" t="s">
        <v>20</v>
      </c>
      <c r="AX20" s="129" t="s">
        <v>162</v>
      </c>
      <c r="AY20" s="130" t="s">
        <v>216</v>
      </c>
      <c r="AZ20" s="181" t="s">
        <v>221</v>
      </c>
      <c r="BA20" s="627" t="s">
        <v>1020</v>
      </c>
      <c r="BB20" s="628"/>
      <c r="BC20" s="438">
        <v>1626</v>
      </c>
      <c r="BD20" s="439">
        <v>38631</v>
      </c>
      <c r="BE20" s="120"/>
      <c r="BF20" s="154">
        <v>2004</v>
      </c>
      <c r="BG20" s="132" t="s">
        <v>225</v>
      </c>
      <c r="BH20" s="123">
        <f t="shared" si="24"/>
        <v>825465.7599999998</v>
      </c>
      <c r="BJ20" s="133" t="s">
        <v>22</v>
      </c>
      <c r="BK20" s="127" t="s">
        <v>1301</v>
      </c>
      <c r="BL20" s="134">
        <v>38687</v>
      </c>
      <c r="BM20" s="134">
        <v>38663</v>
      </c>
      <c r="BN20" s="134">
        <v>38663</v>
      </c>
      <c r="BO20" s="108">
        <f>18+12+4.5+1.3</f>
        <v>35.8</v>
      </c>
      <c r="BP20" s="124">
        <f>BN20+(BO20*365/12)</f>
        <v>39751.916666666664</v>
      </c>
      <c r="BQ20" s="135">
        <f t="shared" si="25"/>
        <v>153172.8</v>
      </c>
      <c r="BR20" s="135">
        <f t="shared" si="26"/>
        <v>130196.87999999999</v>
      </c>
      <c r="BS20" s="135">
        <f t="shared" si="27"/>
        <v>22975.92</v>
      </c>
      <c r="BT20" s="136">
        <v>1943</v>
      </c>
      <c r="BU20" s="137">
        <v>38692</v>
      </c>
      <c r="BV20" s="138" t="s">
        <v>245</v>
      </c>
      <c r="BW20" s="138" t="s">
        <v>225</v>
      </c>
      <c r="BX20" s="136">
        <v>9237</v>
      </c>
      <c r="BY20" s="138" t="s">
        <v>260</v>
      </c>
      <c r="BZ20" s="182">
        <v>38692</v>
      </c>
      <c r="CA20" s="139">
        <f>130196.88+19300+3675.92</f>
        <v>153172.80000000002</v>
      </c>
      <c r="CB20" s="168">
        <v>112877.03</v>
      </c>
      <c r="CC20" s="140">
        <v>39217</v>
      </c>
      <c r="CD20" s="141">
        <f>+CB20*0.8</f>
        <v>90301.62400000001</v>
      </c>
      <c r="CE20" s="141">
        <f>+CD20*0.85</f>
        <v>76756.38040000001</v>
      </c>
      <c r="CF20" s="141">
        <f>+CD20*0.15</f>
        <v>13545.243600000002</v>
      </c>
      <c r="CG20" s="183">
        <v>222</v>
      </c>
      <c r="CH20" s="124">
        <v>39280</v>
      </c>
      <c r="CI20" s="170" t="s">
        <v>728</v>
      </c>
      <c r="CJ20" s="167">
        <v>39315</v>
      </c>
      <c r="CK20" s="139">
        <f>+CD20</f>
        <v>90301.62400000001</v>
      </c>
      <c r="CL20" s="123">
        <v>102940.07</v>
      </c>
      <c r="CM20" s="124"/>
      <c r="CN20" s="327">
        <f>+CL20*0.8</f>
        <v>82352.05600000001</v>
      </c>
      <c r="CO20" s="327">
        <f t="shared" si="50"/>
        <v>69999.2476</v>
      </c>
      <c r="CP20" s="327">
        <f>+CN20*0.15</f>
        <v>12352.808400000002</v>
      </c>
      <c r="CQ20" s="125">
        <v>474</v>
      </c>
      <c r="CR20" s="124">
        <v>39751</v>
      </c>
      <c r="CS20" s="143" t="s">
        <v>1096</v>
      </c>
      <c r="CT20" s="124">
        <v>39766</v>
      </c>
      <c r="CU20" s="242">
        <f>CN20</f>
        <v>82352.05600000001</v>
      </c>
      <c r="CV20" s="123">
        <v>308695.46</v>
      </c>
      <c r="CW20" s="415"/>
      <c r="CX20" s="135">
        <v>159220.72</v>
      </c>
      <c r="CY20" s="327">
        <f>+CX20*0.85</f>
        <v>135337.612</v>
      </c>
      <c r="CZ20" s="327">
        <f>+CX20*0.15</f>
        <v>23883.108</v>
      </c>
      <c r="DA20" s="246">
        <v>562</v>
      </c>
      <c r="DB20" s="124">
        <v>39772</v>
      </c>
      <c r="DC20" s="143" t="s">
        <v>317</v>
      </c>
      <c r="DD20" s="124">
        <v>39785</v>
      </c>
      <c r="DE20" s="123">
        <f>CX20</f>
        <v>159220.72</v>
      </c>
      <c r="DF20" s="123">
        <v>91179.6</v>
      </c>
      <c r="DG20" s="124">
        <v>40124</v>
      </c>
      <c r="DH20" s="123">
        <v>0</v>
      </c>
      <c r="DI20" s="123">
        <v>0</v>
      </c>
      <c r="DJ20" s="123">
        <v>0</v>
      </c>
      <c r="DK20" s="125"/>
      <c r="DL20" s="124"/>
      <c r="DM20" s="123"/>
      <c r="DN20" s="124"/>
      <c r="DO20" s="123">
        <f>+DH20</f>
        <v>0</v>
      </c>
      <c r="DP20" s="123">
        <f>17496.22+4543.23</f>
        <v>22039.45</v>
      </c>
      <c r="DQ20" s="124"/>
      <c r="DR20" s="123">
        <v>0</v>
      </c>
      <c r="DS20" s="123"/>
      <c r="DT20" s="123"/>
      <c r="DU20" s="125"/>
      <c r="DV20" s="124"/>
      <c r="DW20" s="123"/>
      <c r="DX20" s="123"/>
      <c r="DY20" s="123">
        <v>0</v>
      </c>
      <c r="DZ20" s="123"/>
      <c r="EA20" s="124"/>
      <c r="EB20" s="123"/>
      <c r="EC20" s="123"/>
      <c r="ED20" s="123"/>
      <c r="EE20" s="125"/>
      <c r="EF20" s="124"/>
      <c r="EG20" s="123"/>
      <c r="EH20" s="124"/>
      <c r="EI20" s="123"/>
      <c r="EJ20" s="123"/>
      <c r="EK20" s="124"/>
      <c r="EL20" s="123"/>
      <c r="EM20" s="123"/>
      <c r="EN20" s="123"/>
      <c r="EO20" s="125"/>
      <c r="EP20" s="124"/>
      <c r="EQ20" s="123"/>
      <c r="ER20" s="124"/>
      <c r="ES20" s="123"/>
      <c r="ET20" s="123"/>
      <c r="EU20" s="124"/>
      <c r="EV20" s="123"/>
      <c r="EW20" s="123"/>
      <c r="EX20" s="123"/>
      <c r="EY20" s="123"/>
      <c r="EZ20" s="123"/>
      <c r="FA20" s="123"/>
      <c r="FB20" s="123"/>
      <c r="FC20" s="123"/>
      <c r="FD20" s="388">
        <f t="shared" si="52"/>
        <v>485047.2</v>
      </c>
      <c r="FE20" s="388">
        <f t="shared" si="7"/>
        <v>331874.4</v>
      </c>
      <c r="FF20" s="159">
        <f t="shared" si="53"/>
        <v>153172.8</v>
      </c>
      <c r="FG20" s="147">
        <f t="shared" si="9"/>
        <v>638220</v>
      </c>
      <c r="FH20" s="147">
        <f t="shared" si="45"/>
        <v>637731.6100000001</v>
      </c>
      <c r="FI20" s="145">
        <f t="shared" si="28"/>
        <v>488.38999999989755</v>
      </c>
      <c r="FJ20" s="432">
        <f t="shared" si="29"/>
        <v>0.9992347623076684</v>
      </c>
      <c r="FK20" s="147">
        <f t="shared" si="30"/>
        <v>510576</v>
      </c>
      <c r="FL20" s="147">
        <f t="shared" si="31"/>
        <v>153172.8</v>
      </c>
      <c r="FM20" s="135">
        <f t="shared" si="46"/>
        <v>331874.4</v>
      </c>
      <c r="FN20" s="410">
        <f t="shared" si="32"/>
        <v>0.9500000000000001</v>
      </c>
      <c r="FO20" s="135">
        <f t="shared" si="47"/>
        <v>485047.2</v>
      </c>
      <c r="FP20" s="147">
        <f t="shared" si="33"/>
        <v>25528.79999999999</v>
      </c>
      <c r="FQ20" s="423">
        <f t="shared" si="34"/>
        <v>0.65</v>
      </c>
      <c r="FR20" s="117">
        <f>+N20-FH20</f>
        <v>488.38999999989755</v>
      </c>
      <c r="FS20" s="492" t="s">
        <v>413</v>
      </c>
      <c r="FT20" s="483" t="s">
        <v>1015</v>
      </c>
      <c r="FU20" s="232" t="s">
        <v>540</v>
      </c>
      <c r="FV20" s="492" t="s">
        <v>1000</v>
      </c>
      <c r="FW20" s="127">
        <f>2353+2195.44+2161.66</f>
        <v>6710.1</v>
      </c>
      <c r="FX20" s="582"/>
      <c r="FY20" s="593">
        <f>+FH20*0.8</f>
        <v>510185.2880000001</v>
      </c>
      <c r="FZ20" s="312">
        <f>+FH20*0.8-FO20</f>
        <v>25138.088000000105</v>
      </c>
      <c r="GA20" s="312">
        <f>+FZ20*0.85</f>
        <v>21367.37480000009</v>
      </c>
      <c r="GB20" s="312">
        <f>+FZ20*0.15</f>
        <v>3770.7132000000156</v>
      </c>
      <c r="GC20" s="312">
        <f>+FG20*0.8-FH20*0.8</f>
        <v>390.7119999998831</v>
      </c>
      <c r="GD20" s="312">
        <f>+GC20*0.85</f>
        <v>332.10519999990066</v>
      </c>
      <c r="GE20" s="312">
        <f>+GC20*0.15</f>
        <v>58.606799999982464</v>
      </c>
      <c r="GF20" s="589" t="s">
        <v>717</v>
      </c>
    </row>
    <row r="21" spans="1:176" s="192" customFormat="1" ht="11.25" customHeight="1">
      <c r="A21" s="598"/>
      <c r="B21" s="184"/>
      <c r="C21" s="184"/>
      <c r="D21" s="184"/>
      <c r="E21" s="185"/>
      <c r="F21" s="185"/>
      <c r="G21" s="185"/>
      <c r="H21" s="186"/>
      <c r="I21" s="187"/>
      <c r="J21" s="187"/>
      <c r="K21" s="186"/>
      <c r="L21" s="186"/>
      <c r="M21" s="186">
        <f>SUM(M3:M20)</f>
        <v>33422665.79</v>
      </c>
      <c r="N21" s="186">
        <f>SUM(N3:N20)</f>
        <v>29552748.989999995</v>
      </c>
      <c r="O21" s="186">
        <f>SUM(O3:O20)</f>
        <v>4070158.8099999996</v>
      </c>
      <c r="P21" s="186">
        <f>SUM(P3:P20)</f>
        <v>3256127.048</v>
      </c>
      <c r="Q21" s="186"/>
      <c r="R21" s="186"/>
      <c r="S21" s="186"/>
      <c r="T21" s="186">
        <f>SUM(T3:T20)</f>
        <v>21442407.192</v>
      </c>
      <c r="U21" s="186">
        <f>SUM(U3:U20)</f>
        <v>27133807.13</v>
      </c>
      <c r="V21" s="186">
        <f>SUM(V3:V20)</f>
        <v>33422665.79</v>
      </c>
      <c r="W21" s="186">
        <f t="shared" si="20"/>
        <v>16711332.895</v>
      </c>
      <c r="X21" s="186"/>
      <c r="Y21" s="186">
        <f>SUM(Y3:Y20)</f>
        <v>24698534.240000002</v>
      </c>
      <c r="Z21" s="186">
        <f t="shared" si="22"/>
        <v>3704780.1360000004</v>
      </c>
      <c r="AA21" s="186">
        <f t="shared" si="35"/>
        <v>12349267.120000001</v>
      </c>
      <c r="AB21" s="186">
        <f t="shared" si="36"/>
        <v>8644486.984000001</v>
      </c>
      <c r="AC21" s="186">
        <f t="shared" si="23"/>
        <v>20993754.104000002</v>
      </c>
      <c r="AD21" s="186"/>
      <c r="AE21" s="186"/>
      <c r="AF21" s="188"/>
      <c r="AG21" s="189"/>
      <c r="AH21" s="190"/>
      <c r="AI21" s="191"/>
      <c r="AJ21" s="188"/>
      <c r="AK21" s="191"/>
      <c r="AL21" s="190"/>
      <c r="AM21" s="184"/>
      <c r="AN21" s="184"/>
      <c r="AO21" s="184"/>
      <c r="AQ21" s="193"/>
      <c r="AR21" s="184"/>
      <c r="AS21" s="185"/>
      <c r="AT21" s="185"/>
      <c r="AU21" s="185"/>
      <c r="AV21" s="194"/>
      <c r="AW21" s="195"/>
      <c r="AX21" s="195"/>
      <c r="AY21" s="196"/>
      <c r="AZ21" s="197"/>
      <c r="BA21" s="198"/>
      <c r="BB21" s="195"/>
      <c r="BC21" s="199"/>
      <c r="BD21" s="200"/>
      <c r="BE21" s="184"/>
      <c r="BF21" s="201"/>
      <c r="BG21" s="202"/>
      <c r="BH21" s="187"/>
      <c r="BJ21" s="203"/>
      <c r="BL21" s="204"/>
      <c r="BM21" s="204"/>
      <c r="BN21" s="204"/>
      <c r="BO21" s="205"/>
      <c r="BP21" s="188"/>
      <c r="BQ21" s="206">
        <f t="shared" si="25"/>
        <v>7409560.272000001</v>
      </c>
      <c r="BR21" s="206">
        <f t="shared" si="26"/>
        <v>6298126.2312</v>
      </c>
      <c r="BS21" s="206">
        <f t="shared" si="27"/>
        <v>1111434.0408</v>
      </c>
      <c r="BT21" s="207"/>
      <c r="BU21" s="208"/>
      <c r="BV21" s="209"/>
      <c r="BW21" s="209"/>
      <c r="BX21" s="207"/>
      <c r="BY21" s="209"/>
      <c r="BZ21" s="210"/>
      <c r="CA21" s="211">
        <f>SUM(CA3:CA20)</f>
        <v>7409560.229999999</v>
      </c>
      <c r="CB21" s="211"/>
      <c r="CC21" s="212"/>
      <c r="CD21" s="213"/>
      <c r="CE21" s="213"/>
      <c r="CF21" s="213"/>
      <c r="CG21" s="214"/>
      <c r="CH21" s="188"/>
      <c r="CI21" s="215"/>
      <c r="CJ21" s="216"/>
      <c r="CK21" s="211"/>
      <c r="CL21" s="187"/>
      <c r="CM21" s="188"/>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8"/>
      <c r="DL21" s="187"/>
      <c r="DM21" s="187"/>
      <c r="DN21" s="187"/>
      <c r="DO21" s="187"/>
      <c r="DP21" s="187"/>
      <c r="DQ21" s="187"/>
      <c r="DR21" s="187"/>
      <c r="DS21" s="187"/>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218">
        <f aca="true" t="shared" si="54" ref="FD21:FI21">SUM(FD3:FD20)</f>
        <v>20786265.208399996</v>
      </c>
      <c r="FE21" s="218">
        <f t="shared" si="54"/>
        <v>13376704.936400002</v>
      </c>
      <c r="FF21" s="218">
        <f t="shared" si="54"/>
        <v>7409560.271999999</v>
      </c>
      <c r="FG21" s="217">
        <f t="shared" si="54"/>
        <v>32102246.979999997</v>
      </c>
      <c r="FH21" s="217">
        <f t="shared" si="54"/>
        <v>27133807.13</v>
      </c>
      <c r="FI21" s="217">
        <f t="shared" si="54"/>
        <v>4968439.850000001</v>
      </c>
      <c r="FJ21" s="219">
        <f t="shared" si="29"/>
        <v>0.8452307761168437</v>
      </c>
      <c r="FK21" s="217">
        <f>SUM(FK3:FK20)</f>
        <v>21442407.192</v>
      </c>
      <c r="FL21" s="217">
        <f>SUM(FL3:FL20)</f>
        <v>7409560.271999999</v>
      </c>
      <c r="FM21" s="217">
        <f>SUM(FM3:FM20)</f>
        <v>13376704.848400002</v>
      </c>
      <c r="FN21" s="217"/>
      <c r="FO21" s="217">
        <f>SUM(FO3:FO20)</f>
        <v>20786265.120399997</v>
      </c>
      <c r="FP21" s="217">
        <f>SUM(FP3:FP20)</f>
        <v>1208979.6715999993</v>
      </c>
      <c r="FQ21" s="220">
        <f t="shared" si="34"/>
        <v>0.6238434299200674</v>
      </c>
      <c r="FR21" s="206"/>
      <c r="FT21" s="217"/>
    </row>
    <row r="22" spans="1:174" s="230" customFormat="1" ht="12" customHeight="1">
      <c r="A22" s="599"/>
      <c r="B22" s="120"/>
      <c r="C22" s="635" t="s">
        <v>526</v>
      </c>
      <c r="D22" s="635"/>
      <c r="E22" s="635"/>
      <c r="F22" s="635"/>
      <c r="G22" s="221"/>
      <c r="H22" s="222">
        <f>SUM(H3:H20)</f>
        <v>33756965.79</v>
      </c>
      <c r="I22" s="223"/>
      <c r="J22" s="223"/>
      <c r="K22" s="222">
        <f>SUM(K3:K20)</f>
        <v>334300</v>
      </c>
      <c r="L22" s="222"/>
      <c r="M22" s="222"/>
      <c r="N22" s="222"/>
      <c r="O22" s="222">
        <f>273956.3</f>
        <v>273956.3</v>
      </c>
      <c r="P22" s="222"/>
      <c r="Q22" s="222"/>
      <c r="R22" s="222"/>
      <c r="S22" s="222"/>
      <c r="T22" s="222"/>
      <c r="U22" s="222"/>
      <c r="V22" s="222"/>
      <c r="W22" s="222"/>
      <c r="X22" s="222"/>
      <c r="Y22" s="222"/>
      <c r="Z22" s="222"/>
      <c r="AA22" s="222"/>
      <c r="AB22" s="222"/>
      <c r="AC22" s="222">
        <f>SUM(AC3:AC21)</f>
        <v>41987508.208000004</v>
      </c>
      <c r="AD22" s="222">
        <f>SUM(AD3:AD20)</f>
        <v>8724131.55</v>
      </c>
      <c r="AE22" s="222"/>
      <c r="AF22" s="224"/>
      <c r="AG22" s="223"/>
      <c r="AH22" s="225"/>
      <c r="AI22" s="226"/>
      <c r="AJ22" s="224"/>
      <c r="AK22" s="226"/>
      <c r="AL22" s="225"/>
      <c r="AM22" s="227"/>
      <c r="AN22" s="227"/>
      <c r="AO22" s="227"/>
      <c r="AP22" s="227"/>
      <c r="AQ22" s="227"/>
      <c r="AR22" s="227"/>
      <c r="AS22" s="227"/>
      <c r="AT22" s="227"/>
      <c r="AU22" s="227"/>
      <c r="AV22" s="227"/>
      <c r="AW22" s="226"/>
      <c r="AX22" s="226"/>
      <c r="AY22" s="228"/>
      <c r="AZ22" s="228"/>
      <c r="BA22" s="226"/>
      <c r="BB22" s="226"/>
      <c r="BC22" s="443"/>
      <c r="BD22" s="443"/>
      <c r="BE22" s="227"/>
      <c r="BF22" s="229"/>
      <c r="BG22" s="229"/>
      <c r="BH22" s="223"/>
      <c r="BN22" s="231"/>
      <c r="BO22" s="231"/>
      <c r="BP22" s="231"/>
      <c r="BQ22" s="232"/>
      <c r="BR22" s="232"/>
      <c r="BS22" s="232"/>
      <c r="BT22" s="233"/>
      <c r="BU22" s="233"/>
      <c r="BV22" s="233"/>
      <c r="BW22" s="233"/>
      <c r="BX22" s="233"/>
      <c r="BY22" s="233"/>
      <c r="BZ22" s="233"/>
      <c r="CA22" s="234">
        <f>SUM(CA3:CA20)</f>
        <v>7409560.229999999</v>
      </c>
      <c r="CB22" s="234"/>
      <c r="CC22" s="235"/>
      <c r="CD22" s="232"/>
      <c r="CE22" s="232"/>
      <c r="CF22" s="232"/>
      <c r="CG22" s="227"/>
      <c r="CH22" s="236"/>
      <c r="CJ22" s="237"/>
      <c r="CK22" s="232"/>
      <c r="CL22" s="232"/>
      <c r="CM22" s="232"/>
      <c r="CN22" s="232"/>
      <c r="CO22" s="232"/>
      <c r="CP22" s="232"/>
      <c r="CQ22" s="223"/>
      <c r="CR22" s="232"/>
      <c r="CS22" s="232"/>
      <c r="CT22" s="232"/>
      <c r="CU22" s="232"/>
      <c r="CV22" s="232"/>
      <c r="CW22" s="232"/>
      <c r="CX22" s="232"/>
      <c r="CY22" s="232"/>
      <c r="CZ22" s="232"/>
      <c r="DA22" s="223"/>
      <c r="DB22" s="232"/>
      <c r="DC22" s="232"/>
      <c r="DD22" s="232"/>
      <c r="DE22" s="232"/>
      <c r="DF22" s="232"/>
      <c r="DG22" s="232"/>
      <c r="DH22" s="232"/>
      <c r="DI22" s="232"/>
      <c r="DJ22" s="232"/>
      <c r="DK22" s="232"/>
      <c r="DL22" s="232"/>
      <c r="DM22" s="232"/>
      <c r="DN22" s="232"/>
      <c r="DO22" s="232"/>
      <c r="DP22" s="232"/>
      <c r="DQ22" s="232"/>
      <c r="DR22" s="232"/>
      <c r="DS22" s="232"/>
      <c r="DT22" s="232"/>
      <c r="DU22" s="232"/>
      <c r="DV22" s="232"/>
      <c r="DW22" s="232"/>
      <c r="DX22" s="232"/>
      <c r="DY22" s="232"/>
      <c r="DZ22" s="232"/>
      <c r="EA22" s="232"/>
      <c r="EB22" s="232"/>
      <c r="EC22" s="232"/>
      <c r="ED22" s="232"/>
      <c r="EE22" s="232"/>
      <c r="EF22" s="232"/>
      <c r="EG22" s="232"/>
      <c r="EH22" s="232"/>
      <c r="EI22" s="232"/>
      <c r="EJ22" s="232"/>
      <c r="EK22" s="232"/>
      <c r="EL22" s="232"/>
      <c r="EM22" s="232"/>
      <c r="EN22" s="232"/>
      <c r="EO22" s="232"/>
      <c r="EP22" s="232"/>
      <c r="EQ22" s="232"/>
      <c r="ER22" s="232"/>
      <c r="ES22" s="232"/>
      <c r="ET22" s="232"/>
      <c r="EU22" s="232"/>
      <c r="EV22" s="232"/>
      <c r="EW22" s="232"/>
      <c r="EX22" s="232"/>
      <c r="EY22" s="232"/>
      <c r="EZ22" s="232"/>
      <c r="FA22" s="232"/>
      <c r="FB22" s="232"/>
      <c r="FC22" s="232"/>
      <c r="FD22" s="238"/>
      <c r="FE22" s="239"/>
      <c r="FF22" s="239"/>
      <c r="FJ22" s="422"/>
      <c r="FR22" s="232"/>
    </row>
    <row r="23" spans="2:174" ht="12.75" customHeight="1">
      <c r="B23" s="120">
        <v>20</v>
      </c>
      <c r="E23" s="241" t="s">
        <v>107</v>
      </c>
      <c r="F23" s="241" t="s">
        <v>108</v>
      </c>
      <c r="G23" s="241"/>
      <c r="H23" s="242">
        <v>427545.6</v>
      </c>
      <c r="I23" s="243"/>
      <c r="J23" s="243"/>
      <c r="K23" s="242"/>
      <c r="L23" s="242"/>
      <c r="M23" s="242">
        <f>+M4</f>
        <v>2356781</v>
      </c>
      <c r="N23" s="242">
        <f>+N4*0.8</f>
        <v>1821453.432</v>
      </c>
      <c r="O23" s="242">
        <f>+N24*0.5</f>
        <v>897730.295</v>
      </c>
      <c r="P23" s="242"/>
      <c r="Q23" s="242"/>
      <c r="R23" s="242"/>
      <c r="S23" s="242"/>
      <c r="T23" s="242"/>
      <c r="U23" s="372">
        <f aca="true" t="shared" si="55" ref="U23:U28">+FH23</f>
        <v>851096.2599999999</v>
      </c>
      <c r="V23" s="242"/>
      <c r="W23" s="242"/>
      <c r="X23" s="242"/>
      <c r="Y23" s="242">
        <v>427545.6</v>
      </c>
      <c r="Z23" s="242">
        <f t="shared" si="22"/>
        <v>64131.84</v>
      </c>
      <c r="AA23" s="242">
        <f>+Y23*0.5</f>
        <v>213772.8</v>
      </c>
      <c r="AB23" s="242">
        <f>+Y23*0.35</f>
        <v>149640.96</v>
      </c>
      <c r="AC23" s="242">
        <f>+Y23*0.85</f>
        <v>363413.75999999995</v>
      </c>
      <c r="AD23" s="242"/>
      <c r="AE23" s="242"/>
      <c r="AG23" s="243"/>
      <c r="AN23" s="240" t="s">
        <v>1234</v>
      </c>
      <c r="AO23" s="240" t="s">
        <v>17</v>
      </c>
      <c r="AP23" s="240" t="s">
        <v>224</v>
      </c>
      <c r="AQ23" s="240">
        <v>20</v>
      </c>
      <c r="AR23" s="240">
        <v>71100</v>
      </c>
      <c r="AS23" s="247" t="s">
        <v>471</v>
      </c>
      <c r="AT23" s="248" t="s">
        <v>135</v>
      </c>
      <c r="AU23" s="241" t="s">
        <v>223</v>
      </c>
      <c r="AV23" s="389" t="s">
        <v>217</v>
      </c>
      <c r="AW23" s="249" t="s">
        <v>218</v>
      </c>
      <c r="AY23" s="250" t="s">
        <v>219</v>
      </c>
      <c r="AZ23" s="251" t="s">
        <v>220</v>
      </c>
      <c r="BA23" s="249" t="s">
        <v>490</v>
      </c>
      <c r="BB23" s="246" t="s">
        <v>222</v>
      </c>
      <c r="BC23" s="444">
        <v>69</v>
      </c>
      <c r="BD23" s="445">
        <v>38044</v>
      </c>
      <c r="BE23" s="244">
        <v>38139</v>
      </c>
      <c r="BF23" s="254" t="s">
        <v>133</v>
      </c>
      <c r="BG23" s="254" t="s">
        <v>134</v>
      </c>
      <c r="BK23" s="255" t="s">
        <v>1301</v>
      </c>
      <c r="BL23" s="256">
        <v>38380</v>
      </c>
      <c r="BM23" s="256">
        <v>38411</v>
      </c>
      <c r="BN23" s="257">
        <v>38472</v>
      </c>
      <c r="BO23" s="257"/>
      <c r="BP23" s="257"/>
      <c r="BQ23" s="258">
        <f t="shared" si="25"/>
        <v>128263.68</v>
      </c>
      <c r="BR23" s="258">
        <f>+AC23*0.3</f>
        <v>109024.12799999998</v>
      </c>
      <c r="BS23" s="258">
        <f>+Z23*0.3</f>
        <v>19239.552</v>
      </c>
      <c r="BT23" s="259">
        <v>1410</v>
      </c>
      <c r="BU23" s="178">
        <v>38540</v>
      </c>
      <c r="BV23" s="260" t="s">
        <v>133</v>
      </c>
      <c r="BW23" s="260" t="s">
        <v>134</v>
      </c>
      <c r="BX23" s="260" t="s">
        <v>208</v>
      </c>
      <c r="BY23" s="261" t="s">
        <v>197</v>
      </c>
      <c r="BZ23" s="178">
        <v>38540</v>
      </c>
      <c r="CA23" s="177">
        <f>109024.13+19239.55</f>
        <v>128263.68000000001</v>
      </c>
      <c r="CB23" s="258">
        <f>+$Y$23*0.25</f>
        <v>106886.4</v>
      </c>
      <c r="CC23" s="262"/>
      <c r="CD23" s="258">
        <f>+$Y$23*0.25</f>
        <v>106886.4</v>
      </c>
      <c r="CE23" s="258">
        <f>+$AC$23*0.25</f>
        <v>90853.43999999999</v>
      </c>
      <c r="CF23" s="258">
        <f>+$Z$23*0.25</f>
        <v>16032.96</v>
      </c>
      <c r="CG23" s="263" t="s">
        <v>278</v>
      </c>
      <c r="CH23" s="253">
        <v>38856</v>
      </c>
      <c r="CI23" s="264" t="s">
        <v>425</v>
      </c>
      <c r="CJ23" s="262">
        <v>38883</v>
      </c>
      <c r="CK23" s="258">
        <f>90853.44+16032.96</f>
        <v>106886.4</v>
      </c>
      <c r="CL23" s="258">
        <f>+$Y$23*0.25</f>
        <v>106886.4</v>
      </c>
      <c r="CM23" s="265">
        <v>39023</v>
      </c>
      <c r="CN23" s="258">
        <f>+$Y$23*0.25</f>
        <v>106886.4</v>
      </c>
      <c r="CO23" s="258">
        <f>+$AC$23*0.25</f>
        <v>90853.43999999999</v>
      </c>
      <c r="CP23" s="258">
        <f>+$Z$23*0.25</f>
        <v>16032.96</v>
      </c>
      <c r="CQ23" s="278">
        <v>270</v>
      </c>
      <c r="CR23" s="256">
        <v>39042</v>
      </c>
      <c r="CS23" s="180" t="s">
        <v>525</v>
      </c>
      <c r="CT23" s="256">
        <v>39055</v>
      </c>
      <c r="CU23" s="258">
        <f>90853.44+16032.96</f>
        <v>106886.4</v>
      </c>
      <c r="CV23" s="266">
        <v>85509.12</v>
      </c>
      <c r="CW23" s="256">
        <v>39254</v>
      </c>
      <c r="CX23" s="266">
        <v>85509.12</v>
      </c>
      <c r="CY23" s="258">
        <f>CX23*0.85</f>
        <v>72682.752</v>
      </c>
      <c r="CZ23" s="258">
        <f>+CX23*0.15</f>
        <v>12826.367999999999</v>
      </c>
      <c r="DA23" s="246">
        <v>229</v>
      </c>
      <c r="DB23" s="256">
        <v>39287</v>
      </c>
      <c r="DC23" s="180" t="s">
        <v>731</v>
      </c>
      <c r="DD23" s="256">
        <v>39315</v>
      </c>
      <c r="DE23" s="258">
        <f>CX23</f>
        <v>85509.12</v>
      </c>
      <c r="DF23" s="258"/>
      <c r="DG23" s="258"/>
      <c r="DH23" s="258"/>
      <c r="DI23" s="258"/>
      <c r="DJ23" s="258"/>
      <c r="DK23" s="258"/>
      <c r="DL23" s="258"/>
      <c r="DM23" s="258"/>
      <c r="DN23" s="258"/>
      <c r="DO23" s="258"/>
      <c r="DP23" s="258">
        <f>547614.34+4200</f>
        <v>551814.34</v>
      </c>
      <c r="DQ23" s="258"/>
      <c r="DR23" s="258"/>
      <c r="DS23" s="258"/>
      <c r="DT23" s="258"/>
      <c r="DU23" s="258"/>
      <c r="DV23" s="258"/>
      <c r="DW23" s="258"/>
      <c r="DX23" s="258"/>
      <c r="DY23" s="258"/>
      <c r="DZ23" s="258"/>
      <c r="EA23" s="258"/>
      <c r="EB23" s="258"/>
      <c r="EC23" s="258"/>
      <c r="ED23" s="258"/>
      <c r="EE23" s="258"/>
      <c r="EF23" s="258"/>
      <c r="EG23" s="258"/>
      <c r="EH23" s="258"/>
      <c r="EI23" s="258"/>
      <c r="EJ23" s="258"/>
      <c r="EK23" s="258"/>
      <c r="EL23" s="258"/>
      <c r="EM23" s="258"/>
      <c r="EN23" s="258"/>
      <c r="EO23" s="258"/>
      <c r="EP23" s="258"/>
      <c r="EQ23" s="258"/>
      <c r="ER23" s="258"/>
      <c r="ES23" s="258"/>
      <c r="ET23" s="258"/>
      <c r="EU23" s="258"/>
      <c r="EV23" s="258"/>
      <c r="EW23" s="258"/>
      <c r="EX23" s="258"/>
      <c r="EY23" s="258"/>
      <c r="EZ23" s="258"/>
      <c r="FA23" s="258"/>
      <c r="FB23" s="258"/>
      <c r="FC23" s="258"/>
      <c r="FD23" s="159">
        <f aca="true" t="shared" si="56" ref="FD23:FD28">CA23+CK23+CU23+DE23+DO23+DY23+EI23</f>
        <v>427545.6</v>
      </c>
      <c r="FE23" s="388">
        <f aca="true" t="shared" si="57" ref="FE23:FE28">+CK23+CU23+DE23+DO23+DY23+EI23</f>
        <v>299281.92</v>
      </c>
      <c r="FF23" s="267">
        <f>+Y23*0.25</f>
        <v>106886.4</v>
      </c>
      <c r="FG23" s="116">
        <f aca="true" t="shared" si="58" ref="FG23:FG31">+Y23</f>
        <v>427545.6</v>
      </c>
      <c r="FH23" s="147">
        <f aca="true" t="shared" si="59" ref="FH23:FH28">CL23+CB23+DF23+DP23+CV23+DZ23+EJ23</f>
        <v>851096.2599999999</v>
      </c>
      <c r="FI23" s="117">
        <f aca="true" t="shared" si="60" ref="FI23:FI30">FG23-FH23</f>
        <v>-423550.6599999999</v>
      </c>
      <c r="FJ23" s="401">
        <f t="shared" si="29"/>
        <v>1.9906561077929463</v>
      </c>
      <c r="FK23" s="116">
        <f aca="true" t="shared" si="61" ref="FK23:FK31">Y23</f>
        <v>427545.6</v>
      </c>
      <c r="FL23" s="116">
        <f aca="true" t="shared" si="62" ref="FL23:FL28">BQ23</f>
        <v>128263.68</v>
      </c>
      <c r="FM23" s="135">
        <f aca="true" t="shared" si="63" ref="FM23:FM28">+CX23+CN23+CD23+DH23+DR23+EB23+EL23</f>
        <v>299281.92</v>
      </c>
      <c r="FN23" s="116"/>
      <c r="FO23" s="135">
        <f aca="true" t="shared" si="64" ref="FO23:FO28">+DH23+CX23+CN23+CD23+BQ23+DR23+EB23+EL23</f>
        <v>427545.6</v>
      </c>
      <c r="FP23" s="116">
        <f aca="true" t="shared" si="65" ref="FP23:FP28">FK23-FO23</f>
        <v>0</v>
      </c>
      <c r="FQ23" s="119">
        <f aca="true" t="shared" si="66" ref="FQ23:FQ28">FO23/FK23</f>
        <v>1</v>
      </c>
      <c r="FR23" s="116"/>
    </row>
    <row r="24" spans="2:174" ht="12.75" customHeight="1">
      <c r="B24" s="120">
        <v>21</v>
      </c>
      <c r="E24" s="241" t="s">
        <v>615</v>
      </c>
      <c r="F24" s="241" t="s">
        <v>108</v>
      </c>
      <c r="G24" s="241"/>
      <c r="H24" s="242">
        <v>250000</v>
      </c>
      <c r="I24" s="243"/>
      <c r="J24" s="243"/>
      <c r="K24" s="242"/>
      <c r="L24" s="242"/>
      <c r="M24" s="242"/>
      <c r="N24" s="242">
        <f>+N4-O27-10000</f>
        <v>1795460.59</v>
      </c>
      <c r="O24" s="242">
        <f>+N24*0.35</f>
        <v>628411.2065</v>
      </c>
      <c r="P24" s="242"/>
      <c r="Q24" s="122">
        <v>1471562</v>
      </c>
      <c r="R24" s="242">
        <f>+Q24*0.2</f>
        <v>294312.4</v>
      </c>
      <c r="S24" s="242"/>
      <c r="T24" s="242"/>
      <c r="U24" s="372">
        <f t="shared" si="55"/>
        <v>175000</v>
      </c>
      <c r="V24" s="242"/>
      <c r="W24" s="242"/>
      <c r="X24" s="242">
        <f>+Y24+Y23</f>
        <v>677545.6</v>
      </c>
      <c r="Y24" s="242">
        <v>250000</v>
      </c>
      <c r="Z24" s="242">
        <v>250000</v>
      </c>
      <c r="AA24" s="242"/>
      <c r="AB24" s="242"/>
      <c r="AC24" s="242"/>
      <c r="AD24" s="242">
        <f>1068864-250000-427545.6</f>
        <v>391318.4</v>
      </c>
      <c r="AE24" s="242">
        <v>0</v>
      </c>
      <c r="AG24" s="243"/>
      <c r="AN24" s="240" t="s">
        <v>1234</v>
      </c>
      <c r="AO24" s="240" t="s">
        <v>17</v>
      </c>
      <c r="AP24" s="240" t="s">
        <v>224</v>
      </c>
      <c r="AQ24" s="240">
        <v>20</v>
      </c>
      <c r="AR24" s="240">
        <v>71100</v>
      </c>
      <c r="AS24" s="247" t="s">
        <v>471</v>
      </c>
      <c r="AT24" s="248" t="s">
        <v>135</v>
      </c>
      <c r="AU24" s="241" t="s">
        <v>223</v>
      </c>
      <c r="AV24" s="389" t="s">
        <v>217</v>
      </c>
      <c r="AW24" s="249" t="s">
        <v>218</v>
      </c>
      <c r="AY24" s="250" t="s">
        <v>219</v>
      </c>
      <c r="AZ24" s="251" t="s">
        <v>220</v>
      </c>
      <c r="BA24" s="249" t="s">
        <v>490</v>
      </c>
      <c r="BB24" s="246" t="s">
        <v>222</v>
      </c>
      <c r="BC24" s="444">
        <v>69</v>
      </c>
      <c r="BD24" s="445">
        <v>38044</v>
      </c>
      <c r="BE24" s="244">
        <v>38139</v>
      </c>
      <c r="BF24" s="254"/>
      <c r="BG24" s="254"/>
      <c r="BK24" s="255" t="s">
        <v>1301</v>
      </c>
      <c r="BL24" s="256">
        <v>38380</v>
      </c>
      <c r="BM24" s="256">
        <v>38411</v>
      </c>
      <c r="BN24" s="257">
        <v>38472</v>
      </c>
      <c r="BO24" s="257"/>
      <c r="BP24" s="257"/>
      <c r="BQ24" s="258">
        <v>75000</v>
      </c>
      <c r="BS24" s="258">
        <v>75000</v>
      </c>
      <c r="BT24" s="259">
        <v>1410</v>
      </c>
      <c r="BU24" s="178">
        <v>38540</v>
      </c>
      <c r="BV24" s="260"/>
      <c r="BW24" s="260"/>
      <c r="BX24" s="260"/>
      <c r="BY24" s="261">
        <v>538</v>
      </c>
      <c r="BZ24" s="178">
        <v>37803</v>
      </c>
      <c r="CA24" s="177">
        <v>75000</v>
      </c>
      <c r="CB24" s="258">
        <v>62500</v>
      </c>
      <c r="CC24" s="262"/>
      <c r="CD24" s="258">
        <v>62500</v>
      </c>
      <c r="CF24" s="258">
        <v>62500</v>
      </c>
      <c r="CG24" s="263" t="s">
        <v>278</v>
      </c>
      <c r="CH24" s="253">
        <v>38856</v>
      </c>
      <c r="CI24" s="268">
        <v>1249</v>
      </c>
      <c r="CJ24" s="262">
        <v>38715</v>
      </c>
      <c r="CK24" s="258">
        <v>62500</v>
      </c>
      <c r="CL24" s="258">
        <v>62500</v>
      </c>
      <c r="CM24" s="265"/>
      <c r="CN24" s="258">
        <v>62500</v>
      </c>
      <c r="CO24" s="258"/>
      <c r="CP24" s="258">
        <v>62500</v>
      </c>
      <c r="CQ24" s="278">
        <v>270</v>
      </c>
      <c r="CR24" s="256">
        <v>39042</v>
      </c>
      <c r="CS24" s="269">
        <v>1279</v>
      </c>
      <c r="CT24" s="256">
        <v>38924</v>
      </c>
      <c r="CU24" s="258">
        <v>62500</v>
      </c>
      <c r="CV24" s="258">
        <v>50000</v>
      </c>
      <c r="CW24" s="256">
        <v>39254</v>
      </c>
      <c r="CX24" s="258">
        <v>50000</v>
      </c>
      <c r="CY24" s="258"/>
      <c r="CZ24" s="258">
        <f>+CX24</f>
        <v>50000</v>
      </c>
      <c r="DA24" s="246">
        <v>815</v>
      </c>
      <c r="DB24" s="270">
        <v>39205</v>
      </c>
      <c r="DC24" s="271">
        <v>815</v>
      </c>
      <c r="DD24" s="270">
        <v>39205</v>
      </c>
      <c r="DE24" s="258">
        <f>CZ24</f>
        <v>50000</v>
      </c>
      <c r="DF24" s="258"/>
      <c r="DG24" s="258"/>
      <c r="DH24" s="258"/>
      <c r="DI24" s="258"/>
      <c r="DJ24" s="258"/>
      <c r="DK24" s="258"/>
      <c r="DL24" s="258"/>
      <c r="DM24" s="258"/>
      <c r="DN24" s="258"/>
      <c r="DO24" s="258"/>
      <c r="DP24" s="258"/>
      <c r="DQ24" s="258"/>
      <c r="DR24" s="258"/>
      <c r="DS24" s="258"/>
      <c r="DT24" s="258"/>
      <c r="DU24" s="258"/>
      <c r="DV24" s="258"/>
      <c r="DW24" s="258"/>
      <c r="DX24" s="258"/>
      <c r="DY24" s="258"/>
      <c r="DZ24" s="258"/>
      <c r="EA24" s="258"/>
      <c r="EB24" s="258"/>
      <c r="EC24" s="258"/>
      <c r="ED24" s="258"/>
      <c r="EE24" s="258"/>
      <c r="EF24" s="258"/>
      <c r="EG24" s="258"/>
      <c r="EH24" s="258"/>
      <c r="EI24" s="258"/>
      <c r="EJ24" s="258"/>
      <c r="EK24" s="258"/>
      <c r="EL24" s="258"/>
      <c r="EM24" s="258"/>
      <c r="EN24" s="258"/>
      <c r="EO24" s="258"/>
      <c r="EP24" s="258"/>
      <c r="EQ24" s="258"/>
      <c r="ER24" s="258"/>
      <c r="ES24" s="258"/>
      <c r="ET24" s="258"/>
      <c r="EU24" s="258"/>
      <c r="EV24" s="258"/>
      <c r="EW24" s="258"/>
      <c r="EX24" s="258"/>
      <c r="EY24" s="258"/>
      <c r="EZ24" s="258"/>
      <c r="FA24" s="258"/>
      <c r="FB24" s="258"/>
      <c r="FC24" s="258"/>
      <c r="FD24" s="159">
        <f t="shared" si="56"/>
        <v>250000</v>
      </c>
      <c r="FE24" s="388">
        <f t="shared" si="57"/>
        <v>175000</v>
      </c>
      <c r="FF24" s="267">
        <f>+Y24*0.25</f>
        <v>62500</v>
      </c>
      <c r="FG24" s="116">
        <f t="shared" si="58"/>
        <v>250000</v>
      </c>
      <c r="FH24" s="147">
        <f t="shared" si="59"/>
        <v>175000</v>
      </c>
      <c r="FI24" s="117">
        <f t="shared" si="60"/>
        <v>75000</v>
      </c>
      <c r="FJ24" s="401">
        <f t="shared" si="29"/>
        <v>0.7</v>
      </c>
      <c r="FK24" s="116">
        <f t="shared" si="61"/>
        <v>250000</v>
      </c>
      <c r="FL24" s="116">
        <f t="shared" si="62"/>
        <v>75000</v>
      </c>
      <c r="FM24" s="135">
        <f t="shared" si="63"/>
        <v>175000</v>
      </c>
      <c r="FN24" s="116"/>
      <c r="FO24" s="135">
        <f t="shared" si="64"/>
        <v>250000</v>
      </c>
      <c r="FP24" s="116">
        <f t="shared" si="65"/>
        <v>0</v>
      </c>
      <c r="FQ24" s="119">
        <f t="shared" si="66"/>
        <v>1</v>
      </c>
      <c r="FR24" s="116"/>
    </row>
    <row r="25" spans="2:174" ht="12.75" customHeight="1">
      <c r="B25" s="120">
        <v>22</v>
      </c>
      <c r="E25" s="241" t="s">
        <v>109</v>
      </c>
      <c r="F25" s="241" t="s">
        <v>111</v>
      </c>
      <c r="G25" s="241"/>
      <c r="H25" s="242"/>
      <c r="I25" s="243"/>
      <c r="J25" s="243"/>
      <c r="K25" s="242"/>
      <c r="L25" s="242"/>
      <c r="M25" s="242"/>
      <c r="N25" s="242"/>
      <c r="O25" s="242">
        <f>+N24*0.15</f>
        <v>269319.0885</v>
      </c>
      <c r="P25" s="242"/>
      <c r="Q25" s="242"/>
      <c r="R25" s="242">
        <f>+Q24-R24</f>
        <v>1177249.6</v>
      </c>
      <c r="S25" s="242">
        <f>+R25*0.5</f>
        <v>588624.8</v>
      </c>
      <c r="T25" s="242"/>
      <c r="U25" s="372">
        <f t="shared" si="55"/>
        <v>2016000</v>
      </c>
      <c r="V25" s="242"/>
      <c r="W25" s="242"/>
      <c r="X25" s="242"/>
      <c r="Y25" s="242">
        <v>2880000</v>
      </c>
      <c r="Z25" s="242">
        <f t="shared" si="22"/>
        <v>432000</v>
      </c>
      <c r="AA25" s="242">
        <f>+Y25*0.5</f>
        <v>1440000</v>
      </c>
      <c r="AB25" s="242">
        <f>+Y25*0.35</f>
        <v>1007999.9999999999</v>
      </c>
      <c r="AC25" s="242">
        <f>+Y25*0.85</f>
        <v>2448000</v>
      </c>
      <c r="AD25" s="242"/>
      <c r="AE25" s="242"/>
      <c r="AG25" s="243"/>
      <c r="AS25" s="248" t="s">
        <v>676</v>
      </c>
      <c r="AT25" s="240" t="s">
        <v>672</v>
      </c>
      <c r="AU25" s="241" t="s">
        <v>622</v>
      </c>
      <c r="AW25" s="246">
        <v>80000840753</v>
      </c>
      <c r="AY25" s="250" t="s">
        <v>677</v>
      </c>
      <c r="AZ25" s="250" t="s">
        <v>678</v>
      </c>
      <c r="BA25" s="624" t="s">
        <v>1065</v>
      </c>
      <c r="BB25" s="624"/>
      <c r="BC25" s="444">
        <v>70</v>
      </c>
      <c r="BD25" s="445">
        <v>38044</v>
      </c>
      <c r="BF25" s="254" t="s">
        <v>140</v>
      </c>
      <c r="BG25" s="254" t="s">
        <v>141</v>
      </c>
      <c r="BK25" s="255" t="s">
        <v>1301</v>
      </c>
      <c r="BL25" s="256">
        <v>38398</v>
      </c>
      <c r="BQ25" s="258">
        <f t="shared" si="25"/>
        <v>864000</v>
      </c>
      <c r="BR25" s="258">
        <f>+AC25*0.3</f>
        <v>734400</v>
      </c>
      <c r="BS25" s="258">
        <f>+Z25*0.3</f>
        <v>129600</v>
      </c>
      <c r="BT25" s="259">
        <v>1479</v>
      </c>
      <c r="BU25" s="178">
        <v>38558</v>
      </c>
      <c r="BV25" s="260" t="s">
        <v>140</v>
      </c>
      <c r="BW25" s="260" t="s">
        <v>141</v>
      </c>
      <c r="BX25" s="259">
        <v>8187</v>
      </c>
      <c r="BY25" s="261" t="s">
        <v>199</v>
      </c>
      <c r="BZ25" s="178">
        <v>38610</v>
      </c>
      <c r="CA25" s="177">
        <f>737400+126600</f>
        <v>864000</v>
      </c>
      <c r="CB25" s="258">
        <f>+$Y$25*0.25</f>
        <v>720000</v>
      </c>
      <c r="CC25" s="265">
        <v>39155</v>
      </c>
      <c r="CD25" s="258">
        <f>+$Y$25*0.25</f>
        <v>720000</v>
      </c>
      <c r="CE25" s="258">
        <f>+$AC$25*0.25</f>
        <v>612000</v>
      </c>
      <c r="CF25" s="258">
        <f>+$Z$25*0.25</f>
        <v>108000</v>
      </c>
      <c r="CG25" s="273">
        <v>188</v>
      </c>
      <c r="CH25" s="253">
        <v>39252</v>
      </c>
      <c r="CI25" s="274" t="s">
        <v>729</v>
      </c>
      <c r="CJ25" s="262">
        <v>39268</v>
      </c>
      <c r="CK25" s="258">
        <f>CD25</f>
        <v>720000</v>
      </c>
      <c r="CL25" s="258">
        <f>+$Y$25*0.25</f>
        <v>720000</v>
      </c>
      <c r="CM25" s="265">
        <v>39155</v>
      </c>
      <c r="CN25" s="258">
        <f>+$Y$25*0.25</f>
        <v>720000</v>
      </c>
      <c r="CO25" s="258">
        <f>+$AC$25*0.25</f>
        <v>612000</v>
      </c>
      <c r="CP25" s="258">
        <f>+$Z$25*0.25</f>
        <v>108000</v>
      </c>
      <c r="CQ25" s="246">
        <v>188</v>
      </c>
      <c r="CR25" s="244">
        <v>39252</v>
      </c>
      <c r="CS25" s="274" t="s">
        <v>729</v>
      </c>
      <c r="CT25" s="265">
        <v>39268</v>
      </c>
      <c r="CU25" s="258">
        <f>CN25</f>
        <v>720000</v>
      </c>
      <c r="CV25" s="258">
        <f>+$Y$25*0.2</f>
        <v>576000</v>
      </c>
      <c r="CW25" s="256">
        <v>39566</v>
      </c>
      <c r="CX25" s="258">
        <f>+$Y$25*0.2</f>
        <v>576000</v>
      </c>
      <c r="CY25" s="258">
        <f>CX25*0.85</f>
        <v>489600</v>
      </c>
      <c r="CZ25" s="258">
        <f>+CX25*0.15</f>
        <v>86400</v>
      </c>
      <c r="DA25" s="246">
        <v>244</v>
      </c>
      <c r="DB25" s="256">
        <v>39637</v>
      </c>
      <c r="DC25" s="180" t="s">
        <v>1072</v>
      </c>
      <c r="DD25" s="256"/>
      <c r="DE25" s="258">
        <f>CX25</f>
        <v>576000</v>
      </c>
      <c r="DF25" s="258"/>
      <c r="DG25" s="258"/>
      <c r="DH25" s="258"/>
      <c r="DI25" s="258"/>
      <c r="DJ25" s="258"/>
      <c r="DK25" s="258"/>
      <c r="DL25" s="258"/>
      <c r="DM25" s="258"/>
      <c r="DN25" s="258"/>
      <c r="DO25" s="258"/>
      <c r="DP25" s="258"/>
      <c r="DQ25" s="258"/>
      <c r="DR25" s="258"/>
      <c r="DS25" s="258"/>
      <c r="DT25" s="258"/>
      <c r="DU25" s="258"/>
      <c r="DV25" s="258"/>
      <c r="DW25" s="258"/>
      <c r="DX25" s="258"/>
      <c r="DY25" s="258"/>
      <c r="DZ25" s="258"/>
      <c r="EA25" s="258"/>
      <c r="EB25" s="258"/>
      <c r="EC25" s="258"/>
      <c r="ED25" s="258"/>
      <c r="EE25" s="258"/>
      <c r="EF25" s="258"/>
      <c r="EG25" s="258"/>
      <c r="EH25" s="258"/>
      <c r="EI25" s="258"/>
      <c r="EJ25" s="258"/>
      <c r="EK25" s="258"/>
      <c r="EL25" s="258"/>
      <c r="EM25" s="258"/>
      <c r="EN25" s="258"/>
      <c r="EO25" s="258"/>
      <c r="EP25" s="258"/>
      <c r="EQ25" s="258"/>
      <c r="ER25" s="258"/>
      <c r="ES25" s="258"/>
      <c r="ET25" s="258"/>
      <c r="EU25" s="258"/>
      <c r="EV25" s="258"/>
      <c r="EW25" s="258"/>
      <c r="EX25" s="258"/>
      <c r="EY25" s="258"/>
      <c r="EZ25" s="258"/>
      <c r="FA25" s="258"/>
      <c r="FB25" s="258"/>
      <c r="FC25" s="258"/>
      <c r="FD25" s="159">
        <f t="shared" si="56"/>
        <v>2880000</v>
      </c>
      <c r="FE25" s="388">
        <f t="shared" si="57"/>
        <v>2016000</v>
      </c>
      <c r="FF25" s="267">
        <f>+Y23*0.25</f>
        <v>106886.4</v>
      </c>
      <c r="FG25" s="116">
        <f t="shared" si="58"/>
        <v>2880000</v>
      </c>
      <c r="FH25" s="147">
        <f t="shared" si="59"/>
        <v>2016000</v>
      </c>
      <c r="FI25" s="117">
        <f t="shared" si="60"/>
        <v>864000</v>
      </c>
      <c r="FJ25" s="401">
        <f t="shared" si="29"/>
        <v>0.7</v>
      </c>
      <c r="FK25" s="116">
        <f t="shared" si="61"/>
        <v>2880000</v>
      </c>
      <c r="FL25" s="116">
        <f t="shared" si="62"/>
        <v>864000</v>
      </c>
      <c r="FM25" s="135">
        <f t="shared" si="63"/>
        <v>2016000</v>
      </c>
      <c r="FN25" s="116"/>
      <c r="FO25" s="135">
        <f t="shared" si="64"/>
        <v>2880000</v>
      </c>
      <c r="FP25" s="116">
        <f t="shared" si="65"/>
        <v>0</v>
      </c>
      <c r="FQ25" s="119">
        <f t="shared" si="66"/>
        <v>1</v>
      </c>
      <c r="FR25" s="116"/>
    </row>
    <row r="26" spans="2:174" ht="12.75" customHeight="1">
      <c r="B26" s="120">
        <v>23</v>
      </c>
      <c r="E26" s="241" t="s">
        <v>616</v>
      </c>
      <c r="F26" s="241" t="s">
        <v>111</v>
      </c>
      <c r="G26" s="241"/>
      <c r="H26" s="242"/>
      <c r="I26" s="243"/>
      <c r="J26" s="243"/>
      <c r="K26" s="242"/>
      <c r="L26" s="242"/>
      <c r="M26" s="242"/>
      <c r="N26" s="242"/>
      <c r="O26" s="242">
        <f>SUM(O23:O25)</f>
        <v>1795460.59</v>
      </c>
      <c r="P26" s="242"/>
      <c r="Q26" s="242"/>
      <c r="R26" s="242"/>
      <c r="S26" s="242">
        <f>+R25*0.35</f>
        <v>412037.36</v>
      </c>
      <c r="T26" s="242"/>
      <c r="U26" s="372">
        <f t="shared" si="55"/>
        <v>882000</v>
      </c>
      <c r="V26" s="242"/>
      <c r="W26" s="242"/>
      <c r="X26" s="242">
        <f>+Y26+Y25</f>
        <v>4140000</v>
      </c>
      <c r="Y26" s="242">
        <v>1260000</v>
      </c>
      <c r="Z26" s="242">
        <v>1260000</v>
      </c>
      <c r="AA26" s="242"/>
      <c r="AB26" s="242"/>
      <c r="AC26" s="242"/>
      <c r="AD26" s="242"/>
      <c r="AE26" s="242"/>
      <c r="AG26" s="243"/>
      <c r="AS26" s="248" t="s">
        <v>676</v>
      </c>
      <c r="AT26" s="240" t="s">
        <v>672</v>
      </c>
      <c r="AU26" s="241" t="s">
        <v>622</v>
      </c>
      <c r="AW26" s="246">
        <v>80000840753</v>
      </c>
      <c r="AY26" s="250" t="s">
        <v>677</v>
      </c>
      <c r="AZ26" s="250" t="s">
        <v>678</v>
      </c>
      <c r="BA26" s="624" t="s">
        <v>1065</v>
      </c>
      <c r="BB26" s="624"/>
      <c r="BC26" s="444">
        <v>70</v>
      </c>
      <c r="BD26" s="445">
        <v>38044</v>
      </c>
      <c r="BF26" s="254"/>
      <c r="BG26" s="254"/>
      <c r="BK26" s="255" t="s">
        <v>1301</v>
      </c>
      <c r="BL26" s="256">
        <v>38398</v>
      </c>
      <c r="BQ26" s="258">
        <v>378000</v>
      </c>
      <c r="BS26" s="258">
        <v>378000</v>
      </c>
      <c r="BT26" s="259">
        <v>1479</v>
      </c>
      <c r="BU26" s="178">
        <v>38558</v>
      </c>
      <c r="BV26" s="260"/>
      <c r="BW26" s="260"/>
      <c r="BX26" s="259"/>
      <c r="BY26" s="261">
        <v>670</v>
      </c>
      <c r="BZ26" s="178">
        <v>37770</v>
      </c>
      <c r="CA26" s="177">
        <v>378000</v>
      </c>
      <c r="CB26" s="258">
        <f>+$Y$26*0.25</f>
        <v>315000</v>
      </c>
      <c r="CC26" s="265">
        <v>39066</v>
      </c>
      <c r="CD26" s="258">
        <f>+$Y$26*0.25</f>
        <v>315000</v>
      </c>
      <c r="CF26" s="258">
        <f>+$Z$26*0.25</f>
        <v>315000</v>
      </c>
      <c r="CG26" s="273">
        <v>188</v>
      </c>
      <c r="CH26" s="253">
        <v>39252</v>
      </c>
      <c r="CI26" s="275">
        <v>7535</v>
      </c>
      <c r="CJ26" s="262">
        <v>39066</v>
      </c>
      <c r="CK26" s="258">
        <f>CD26</f>
        <v>315000</v>
      </c>
      <c r="CL26" s="258">
        <f>+$Y$26*0.25</f>
        <v>315000</v>
      </c>
      <c r="CM26" s="265">
        <v>39154</v>
      </c>
      <c r="CN26" s="258">
        <f>+$Y$26*0.25</f>
        <v>315000</v>
      </c>
      <c r="CO26" s="258"/>
      <c r="CP26" s="258">
        <f>+$Z$26*0.25</f>
        <v>315000</v>
      </c>
      <c r="CQ26" s="246">
        <v>188</v>
      </c>
      <c r="CR26" s="244">
        <v>39252</v>
      </c>
      <c r="CS26" s="271">
        <v>1811</v>
      </c>
      <c r="CT26" s="265">
        <v>39154</v>
      </c>
      <c r="CU26" s="258">
        <f>CN26</f>
        <v>315000</v>
      </c>
      <c r="CV26" s="258">
        <f>+$Y$26*0.2</f>
        <v>252000</v>
      </c>
      <c r="CW26" s="256">
        <v>39566</v>
      </c>
      <c r="CX26" s="258">
        <f>+$Y$26*0.2</f>
        <v>252000</v>
      </c>
      <c r="CY26" s="258"/>
      <c r="CZ26" s="258">
        <f>+CX26</f>
        <v>252000</v>
      </c>
      <c r="DA26" s="246">
        <v>244</v>
      </c>
      <c r="DB26" s="256">
        <v>39637</v>
      </c>
      <c r="DC26" s="180" t="s">
        <v>1072</v>
      </c>
      <c r="DD26" s="256"/>
      <c r="DE26" s="258">
        <f>CX26</f>
        <v>252000</v>
      </c>
      <c r="DF26" s="258"/>
      <c r="DG26" s="258"/>
      <c r="DH26" s="258"/>
      <c r="DI26" s="258"/>
      <c r="DJ26" s="258"/>
      <c r="DK26" s="258"/>
      <c r="DL26" s="258"/>
      <c r="DM26" s="258"/>
      <c r="DN26" s="258"/>
      <c r="DO26" s="258"/>
      <c r="DP26" s="258"/>
      <c r="DQ26" s="258"/>
      <c r="DR26" s="258"/>
      <c r="DS26" s="258"/>
      <c r="DT26" s="258"/>
      <c r="DU26" s="258"/>
      <c r="DV26" s="258"/>
      <c r="DW26" s="258"/>
      <c r="DX26" s="258"/>
      <c r="DY26" s="258"/>
      <c r="DZ26" s="258"/>
      <c r="EA26" s="258"/>
      <c r="EB26" s="258"/>
      <c r="EC26" s="258"/>
      <c r="ED26" s="258"/>
      <c r="EE26" s="258"/>
      <c r="EF26" s="258"/>
      <c r="EG26" s="258"/>
      <c r="EH26" s="258"/>
      <c r="EI26" s="258"/>
      <c r="EJ26" s="258"/>
      <c r="EK26" s="258"/>
      <c r="EL26" s="258"/>
      <c r="EM26" s="258"/>
      <c r="EN26" s="258"/>
      <c r="EO26" s="258"/>
      <c r="EP26" s="258"/>
      <c r="EQ26" s="258"/>
      <c r="ER26" s="258"/>
      <c r="ES26" s="258"/>
      <c r="ET26" s="258"/>
      <c r="EU26" s="258"/>
      <c r="EV26" s="258"/>
      <c r="EW26" s="258"/>
      <c r="EX26" s="258"/>
      <c r="EY26" s="258"/>
      <c r="EZ26" s="258"/>
      <c r="FA26" s="258"/>
      <c r="FB26" s="258"/>
      <c r="FC26" s="258"/>
      <c r="FD26" s="159">
        <f t="shared" si="56"/>
        <v>1260000</v>
      </c>
      <c r="FE26" s="388">
        <f t="shared" si="57"/>
        <v>882000</v>
      </c>
      <c r="FF26" s="267">
        <f>+Y24*0.25</f>
        <v>62500</v>
      </c>
      <c r="FG26" s="116">
        <f t="shared" si="58"/>
        <v>1260000</v>
      </c>
      <c r="FH26" s="147">
        <f t="shared" si="59"/>
        <v>882000</v>
      </c>
      <c r="FI26" s="117">
        <f t="shared" si="60"/>
        <v>378000</v>
      </c>
      <c r="FJ26" s="401">
        <f t="shared" si="29"/>
        <v>0.7</v>
      </c>
      <c r="FK26" s="116">
        <f t="shared" si="61"/>
        <v>1260000</v>
      </c>
      <c r="FL26" s="116">
        <f t="shared" si="62"/>
        <v>378000</v>
      </c>
      <c r="FM26" s="135">
        <f t="shared" si="63"/>
        <v>882000</v>
      </c>
      <c r="FN26" s="116"/>
      <c r="FO26" s="135">
        <f t="shared" si="64"/>
        <v>1260000</v>
      </c>
      <c r="FP26" s="116">
        <f t="shared" si="65"/>
        <v>0</v>
      </c>
      <c r="FQ26" s="119">
        <f t="shared" si="66"/>
        <v>1</v>
      </c>
      <c r="FR26" s="116"/>
    </row>
    <row r="27" spans="2:174" ht="12.75" customHeight="1">
      <c r="B27" s="120">
        <v>24</v>
      </c>
      <c r="E27" s="241" t="s">
        <v>110</v>
      </c>
      <c r="F27" s="241" t="s">
        <v>1318</v>
      </c>
      <c r="G27" s="241"/>
      <c r="H27" s="242"/>
      <c r="I27" s="243"/>
      <c r="J27" s="243"/>
      <c r="K27" s="242"/>
      <c r="L27" s="242"/>
      <c r="M27" s="242"/>
      <c r="N27" s="409"/>
      <c r="O27" s="242">
        <v>471356.2</v>
      </c>
      <c r="P27" s="242"/>
      <c r="Q27" s="242"/>
      <c r="R27" s="242"/>
      <c r="S27" s="242">
        <f>+R25*0.15</f>
        <v>176587.44</v>
      </c>
      <c r="T27" s="242"/>
      <c r="U27" s="372">
        <f t="shared" si="55"/>
        <v>2601760</v>
      </c>
      <c r="V27" s="242"/>
      <c r="W27" s="242"/>
      <c r="X27" s="242"/>
      <c r="Y27" s="242">
        <v>3716800</v>
      </c>
      <c r="Z27" s="242">
        <f t="shared" si="22"/>
        <v>557520</v>
      </c>
      <c r="AA27" s="242">
        <f>+Y27*0.5</f>
        <v>1858400</v>
      </c>
      <c r="AB27" s="242">
        <f>+Y27*0.35</f>
        <v>1300880</v>
      </c>
      <c r="AC27" s="242">
        <f>+Y27*0.85</f>
        <v>3159280</v>
      </c>
      <c r="AD27" s="242">
        <v>3120000</v>
      </c>
      <c r="AE27" s="242"/>
      <c r="AG27" s="243"/>
      <c r="AS27" s="248" t="s">
        <v>1068</v>
      </c>
      <c r="AT27" s="248" t="s">
        <v>136</v>
      </c>
      <c r="AU27" s="241" t="s">
        <v>137</v>
      </c>
      <c r="AW27" s="249" t="s">
        <v>1067</v>
      </c>
      <c r="AY27" s="390" t="s">
        <v>123</v>
      </c>
      <c r="BA27" s="624" t="s">
        <v>790</v>
      </c>
      <c r="BB27" s="624"/>
      <c r="BC27" s="444">
        <v>68</v>
      </c>
      <c r="BD27" s="445">
        <v>38044</v>
      </c>
      <c r="BF27" s="254" t="s">
        <v>138</v>
      </c>
      <c r="BG27" s="254" t="s">
        <v>139</v>
      </c>
      <c r="BK27" s="255" t="s">
        <v>1301</v>
      </c>
      <c r="BL27" s="256">
        <v>38555</v>
      </c>
      <c r="BM27" s="256">
        <v>38554</v>
      </c>
      <c r="BN27" s="257">
        <v>37803</v>
      </c>
      <c r="BO27" s="257"/>
      <c r="BP27" s="257"/>
      <c r="BQ27" s="258">
        <f>+$Y$27*0.3</f>
        <v>1115040</v>
      </c>
      <c r="BR27" s="258">
        <f>+$AC$27*0.3</f>
        <v>947784</v>
      </c>
      <c r="BS27" s="258">
        <f>+$Z$27*0.3</f>
        <v>167256</v>
      </c>
      <c r="BT27" s="259">
        <v>1478</v>
      </c>
      <c r="BU27" s="178">
        <v>38558</v>
      </c>
      <c r="BV27" s="260" t="s">
        <v>138</v>
      </c>
      <c r="BW27" s="260" t="s">
        <v>139</v>
      </c>
      <c r="BX27" s="259">
        <v>8192</v>
      </c>
      <c r="BY27" s="261" t="s">
        <v>198</v>
      </c>
      <c r="BZ27" s="178">
        <v>38610</v>
      </c>
      <c r="CA27" s="177">
        <f>167256+947784</f>
        <v>1115040</v>
      </c>
      <c r="CB27" s="258">
        <f>+$Y$27*0.25</f>
        <v>929200</v>
      </c>
      <c r="CC27" s="262"/>
      <c r="CD27" s="258">
        <f>+$Y$27*0.25</f>
        <v>929200</v>
      </c>
      <c r="CE27" s="258">
        <f>+$AC$27*0.25</f>
        <v>789820</v>
      </c>
      <c r="CF27" s="258">
        <f>+$Z$27*0.25</f>
        <v>139380</v>
      </c>
      <c r="CG27" s="263" t="s">
        <v>213</v>
      </c>
      <c r="CH27" s="253">
        <v>38677</v>
      </c>
      <c r="CI27" s="264" t="s">
        <v>259</v>
      </c>
      <c r="CJ27" s="262">
        <v>38677</v>
      </c>
      <c r="CK27" s="258">
        <f>789820+139380</f>
        <v>929200</v>
      </c>
      <c r="CL27" s="258">
        <f>+$Y$27*0.25</f>
        <v>929200</v>
      </c>
      <c r="CM27" s="265">
        <v>39323</v>
      </c>
      <c r="CN27" s="258">
        <f>+$Y$27*0.25</f>
        <v>929200</v>
      </c>
      <c r="CO27" s="258">
        <f>+$AC$27*0.25</f>
        <v>789820</v>
      </c>
      <c r="CP27" s="258">
        <f>+$Z$27*0.25</f>
        <v>139380</v>
      </c>
      <c r="CQ27" s="246">
        <v>268</v>
      </c>
      <c r="CR27" s="244">
        <v>39331</v>
      </c>
      <c r="CS27" s="274" t="s">
        <v>730</v>
      </c>
      <c r="CT27" s="265">
        <v>39345</v>
      </c>
      <c r="CU27" s="177">
        <f>789820+139380</f>
        <v>929200</v>
      </c>
      <c r="CV27" s="258">
        <f>+$Y$27*0.2</f>
        <v>743360</v>
      </c>
      <c r="CW27" s="178" t="s">
        <v>1066</v>
      </c>
      <c r="CX27" s="258">
        <f>+$Y$27*0.2</f>
        <v>743360</v>
      </c>
      <c r="CY27" s="258">
        <f>CX27*0.85</f>
        <v>631856</v>
      </c>
      <c r="CZ27" s="258">
        <f>+CX27*0.15</f>
        <v>111504</v>
      </c>
      <c r="DA27" s="246">
        <v>333</v>
      </c>
      <c r="DB27" s="256">
        <v>39696</v>
      </c>
      <c r="DC27" s="180" t="s">
        <v>1075</v>
      </c>
      <c r="DD27" s="256">
        <v>39716</v>
      </c>
      <c r="DE27" s="258">
        <f>CX27</f>
        <v>743360</v>
      </c>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59">
        <f t="shared" si="56"/>
        <v>3716800</v>
      </c>
      <c r="FE27" s="388">
        <f t="shared" si="57"/>
        <v>2601760</v>
      </c>
      <c r="FF27" s="267">
        <f>+Y27*0.25</f>
        <v>929200</v>
      </c>
      <c r="FG27" s="116">
        <f t="shared" si="58"/>
        <v>3716800</v>
      </c>
      <c r="FH27" s="147">
        <f t="shared" si="59"/>
        <v>2601760</v>
      </c>
      <c r="FI27" s="117">
        <f t="shared" si="60"/>
        <v>1115040</v>
      </c>
      <c r="FJ27" s="401">
        <f t="shared" si="29"/>
        <v>0.7</v>
      </c>
      <c r="FK27" s="116">
        <f t="shared" si="61"/>
        <v>3716800</v>
      </c>
      <c r="FL27" s="116">
        <f t="shared" si="62"/>
        <v>1115040</v>
      </c>
      <c r="FM27" s="135">
        <f t="shared" si="63"/>
        <v>2601760</v>
      </c>
      <c r="FN27" s="116"/>
      <c r="FO27" s="135">
        <f t="shared" si="64"/>
        <v>3716800</v>
      </c>
      <c r="FP27" s="116">
        <f t="shared" si="65"/>
        <v>0</v>
      </c>
      <c r="FQ27" s="119">
        <f t="shared" si="66"/>
        <v>1</v>
      </c>
      <c r="FR27" s="116"/>
    </row>
    <row r="28" spans="2:174" ht="12.75" customHeight="1">
      <c r="B28" s="120">
        <v>25</v>
      </c>
      <c r="E28" s="241" t="s">
        <v>614</v>
      </c>
      <c r="F28" s="241" t="s">
        <v>1318</v>
      </c>
      <c r="G28" s="241"/>
      <c r="H28" s="242">
        <v>9292000</v>
      </c>
      <c r="I28" s="243"/>
      <c r="J28" s="243"/>
      <c r="K28" s="242"/>
      <c r="L28" s="242">
        <v>3120000</v>
      </c>
      <c r="M28" s="242"/>
      <c r="N28" s="242"/>
      <c r="O28" s="242">
        <f>+O23+O24+O25+O27+10000</f>
        <v>2276816.79</v>
      </c>
      <c r="P28" s="242"/>
      <c r="Q28" s="242"/>
      <c r="R28" s="242"/>
      <c r="S28" s="242">
        <f>SUM(S25:S27)</f>
        <v>1177249.6</v>
      </c>
      <c r="T28" s="242"/>
      <c r="U28" s="372">
        <f t="shared" si="55"/>
        <v>2184000</v>
      </c>
      <c r="V28" s="242"/>
      <c r="W28" s="242"/>
      <c r="X28" s="242">
        <f>+H28-Y28</f>
        <v>3716800</v>
      </c>
      <c r="Y28" s="242">
        <v>5575200</v>
      </c>
      <c r="Z28" s="242">
        <v>5575200</v>
      </c>
      <c r="AA28" s="242"/>
      <c r="AB28" s="242"/>
      <c r="AC28" s="242"/>
      <c r="AD28" s="242"/>
      <c r="AE28" s="242"/>
      <c r="AG28" s="243"/>
      <c r="AS28" s="248" t="s">
        <v>1068</v>
      </c>
      <c r="AT28" s="248" t="s">
        <v>136</v>
      </c>
      <c r="AU28" s="241" t="s">
        <v>137</v>
      </c>
      <c r="AW28" s="249" t="s">
        <v>1067</v>
      </c>
      <c r="AY28" s="390" t="s">
        <v>123</v>
      </c>
      <c r="BA28" s="624" t="s">
        <v>790</v>
      </c>
      <c r="BB28" s="624"/>
      <c r="BC28" s="444">
        <v>68</v>
      </c>
      <c r="BD28" s="445">
        <v>38044</v>
      </c>
      <c r="BF28" s="254"/>
      <c r="BG28" s="254"/>
      <c r="BK28" s="255" t="s">
        <v>1301</v>
      </c>
      <c r="BL28" s="256">
        <v>38555</v>
      </c>
      <c r="BM28" s="256">
        <v>38554</v>
      </c>
      <c r="BN28" s="257">
        <v>37803</v>
      </c>
      <c r="BO28" s="257"/>
      <c r="BP28" s="257"/>
      <c r="BQ28" s="258">
        <v>936000</v>
      </c>
      <c r="BS28" s="258">
        <v>936000</v>
      </c>
      <c r="BT28" s="259">
        <v>1478</v>
      </c>
      <c r="BU28" s="178">
        <v>38558</v>
      </c>
      <c r="BV28" s="260"/>
      <c r="BW28" s="260"/>
      <c r="BX28" s="259"/>
      <c r="BY28" s="259">
        <v>17402</v>
      </c>
      <c r="BZ28" s="178">
        <v>37959</v>
      </c>
      <c r="CA28" s="177">
        <v>936000</v>
      </c>
      <c r="CB28" s="258">
        <v>780000</v>
      </c>
      <c r="CC28" s="262"/>
      <c r="CD28" s="258">
        <v>780000</v>
      </c>
      <c r="CF28" s="258">
        <v>780000</v>
      </c>
      <c r="CG28" s="263" t="s">
        <v>213</v>
      </c>
      <c r="CH28" s="253">
        <v>38677</v>
      </c>
      <c r="CI28" s="268" t="s">
        <v>613</v>
      </c>
      <c r="CJ28" s="262">
        <v>38623</v>
      </c>
      <c r="CK28" s="258">
        <v>780000</v>
      </c>
      <c r="CL28" s="258">
        <v>780000</v>
      </c>
      <c r="CM28" s="265">
        <v>39323</v>
      </c>
      <c r="CN28" s="258">
        <v>780000</v>
      </c>
      <c r="CO28" s="177"/>
      <c r="CP28" s="258">
        <v>780000</v>
      </c>
      <c r="CQ28" s="246">
        <v>268</v>
      </c>
      <c r="CR28" s="244">
        <v>39331</v>
      </c>
      <c r="CS28" s="271">
        <v>12962</v>
      </c>
      <c r="CT28" s="256">
        <v>39307</v>
      </c>
      <c r="CU28" s="258">
        <v>780000</v>
      </c>
      <c r="CV28" s="258">
        <v>624000</v>
      </c>
      <c r="CW28" s="178" t="s">
        <v>1066</v>
      </c>
      <c r="CX28" s="258">
        <v>624000</v>
      </c>
      <c r="CY28" s="177"/>
      <c r="CZ28" s="258">
        <v>624000</v>
      </c>
      <c r="DA28" s="246">
        <v>333</v>
      </c>
      <c r="DB28" s="256">
        <v>39696</v>
      </c>
      <c r="DC28" s="180" t="s">
        <v>1075</v>
      </c>
      <c r="DD28" s="256">
        <v>39716</v>
      </c>
      <c r="DE28" s="258">
        <f>CX28</f>
        <v>624000</v>
      </c>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59">
        <f t="shared" si="56"/>
        <v>3120000</v>
      </c>
      <c r="FE28" s="388">
        <f t="shared" si="57"/>
        <v>2184000</v>
      </c>
      <c r="FF28" s="267">
        <f>+Y28*0.25</f>
        <v>1393800</v>
      </c>
      <c r="FG28" s="116">
        <f t="shared" si="58"/>
        <v>5575200</v>
      </c>
      <c r="FH28" s="147">
        <f t="shared" si="59"/>
        <v>2184000</v>
      </c>
      <c r="FI28" s="117">
        <f t="shared" si="60"/>
        <v>3391200</v>
      </c>
      <c r="FJ28" s="401">
        <f t="shared" si="29"/>
        <v>0.3917348256564787</v>
      </c>
      <c r="FK28" s="116">
        <f t="shared" si="61"/>
        <v>5575200</v>
      </c>
      <c r="FL28" s="116">
        <f t="shared" si="62"/>
        <v>936000</v>
      </c>
      <c r="FM28" s="135">
        <f t="shared" si="63"/>
        <v>2184000</v>
      </c>
      <c r="FN28" s="116"/>
      <c r="FO28" s="135">
        <f t="shared" si="64"/>
        <v>3120000</v>
      </c>
      <c r="FP28" s="116">
        <f t="shared" si="65"/>
        <v>2455200</v>
      </c>
      <c r="FQ28" s="119">
        <f t="shared" si="66"/>
        <v>0.5596211795092553</v>
      </c>
      <c r="FR28" s="116"/>
    </row>
    <row r="29" spans="2:169" ht="12.75" customHeight="1">
      <c r="B29" s="120"/>
      <c r="E29" s="277"/>
      <c r="F29" s="241"/>
      <c r="G29" s="241"/>
      <c r="H29" s="242"/>
      <c r="I29" s="243"/>
      <c r="J29" s="243"/>
      <c r="K29" s="243"/>
      <c r="L29" s="243"/>
      <c r="M29" s="243"/>
      <c r="N29" s="243"/>
      <c r="O29" s="243"/>
      <c r="P29" s="243"/>
      <c r="Q29" s="243"/>
      <c r="R29" s="243"/>
      <c r="S29" s="243"/>
      <c r="T29" s="243"/>
      <c r="U29" s="243"/>
      <c r="V29" s="243"/>
      <c r="X29" s="243"/>
      <c r="Y29" s="243">
        <f>+Y28+Y27</f>
        <v>9292000</v>
      </c>
      <c r="Z29" s="243"/>
      <c r="AA29" s="243"/>
      <c r="AB29" s="243"/>
      <c r="AC29" s="243"/>
      <c r="AD29" s="243"/>
      <c r="AE29" s="243"/>
      <c r="AG29" s="243"/>
      <c r="BA29" s="348"/>
      <c r="BH29" s="243">
        <f>+BH2-Y30</f>
        <v>18414800</v>
      </c>
      <c r="BQ29" s="258">
        <f>BQ15+BQ10</f>
        <v>1074644.352</v>
      </c>
      <c r="CK29" s="279">
        <f>SUM(CK23:CK27)</f>
        <v>2133586.4</v>
      </c>
      <c r="CL29" s="279"/>
      <c r="CM29" s="279"/>
      <c r="CN29" s="279"/>
      <c r="CO29" s="279"/>
      <c r="CP29" s="279"/>
      <c r="CQ29" s="324"/>
      <c r="CR29" s="279"/>
      <c r="CS29" s="279"/>
      <c r="CT29" s="279"/>
      <c r="CU29" s="279"/>
      <c r="CV29" s="279"/>
      <c r="CW29" s="279"/>
      <c r="CX29" s="279"/>
      <c r="CY29" s="279"/>
      <c r="CZ29" s="279"/>
      <c r="DA29" s="324"/>
      <c r="DB29" s="279"/>
      <c r="DC29" s="279"/>
      <c r="DD29" s="399"/>
      <c r="DE29" s="279"/>
      <c r="DF29" s="279"/>
      <c r="DG29" s="279"/>
      <c r="DH29" s="279"/>
      <c r="DI29" s="279"/>
      <c r="DJ29" s="279"/>
      <c r="DK29" s="279"/>
      <c r="DL29" s="279"/>
      <c r="DM29" s="279"/>
      <c r="DN29" s="279"/>
      <c r="DO29" s="279"/>
      <c r="DP29" s="279"/>
      <c r="DQ29" s="279"/>
      <c r="DR29" s="279"/>
      <c r="DS29" s="279"/>
      <c r="DT29" s="279"/>
      <c r="DU29" s="279"/>
      <c r="DV29" s="279"/>
      <c r="DW29" s="279"/>
      <c r="DX29" s="279"/>
      <c r="DY29" s="279"/>
      <c r="DZ29" s="279"/>
      <c r="EA29" s="279"/>
      <c r="EB29" s="279"/>
      <c r="EC29" s="279"/>
      <c r="ED29" s="279"/>
      <c r="EE29" s="279"/>
      <c r="EF29" s="279"/>
      <c r="EG29" s="279"/>
      <c r="EH29" s="279"/>
      <c r="EI29" s="279"/>
      <c r="EJ29" s="279"/>
      <c r="EK29" s="279"/>
      <c r="EL29" s="279"/>
      <c r="EM29" s="279"/>
      <c r="EN29" s="279"/>
      <c r="EO29" s="279"/>
      <c r="EP29" s="279"/>
      <c r="EQ29" s="279"/>
      <c r="ER29" s="279"/>
      <c r="ES29" s="279"/>
      <c r="ET29" s="279"/>
      <c r="EU29" s="279"/>
      <c r="EV29" s="279"/>
      <c r="EW29" s="279"/>
      <c r="EX29" s="279"/>
      <c r="EY29" s="279"/>
      <c r="EZ29" s="279"/>
      <c r="FA29" s="279"/>
      <c r="FB29" s="279"/>
      <c r="FC29" s="279"/>
      <c r="FD29" s="280">
        <f>SUM(FD23:FD28)</f>
        <v>11654345.6</v>
      </c>
      <c r="FE29" s="388">
        <f>SUM(FE23:FE28)</f>
        <v>8158041.92</v>
      </c>
      <c r="FF29" s="267">
        <f>SUM(FF23:FF27)</f>
        <v>1267972.8</v>
      </c>
      <c r="FG29" s="255">
        <f t="shared" si="58"/>
        <v>9292000</v>
      </c>
      <c r="FH29" s="280">
        <f>SUM(FH23:FH28)</f>
        <v>8709856.26</v>
      </c>
      <c r="FI29" s="255">
        <f t="shared" si="60"/>
        <v>582143.7400000002</v>
      </c>
      <c r="FK29" s="280">
        <f>SUM(FK23:FK28)</f>
        <v>14109545.6</v>
      </c>
      <c r="FL29" s="280">
        <f>SUM(FL23:FL28)</f>
        <v>3496303.6799999997</v>
      </c>
      <c r="FM29" s="280">
        <f>SUM(FM23:FM28)</f>
        <v>8158041.92</v>
      </c>
    </row>
    <row r="30" spans="2:171" ht="12.75" customHeight="1">
      <c r="B30" s="120"/>
      <c r="C30" s="281"/>
      <c r="E30" s="277"/>
      <c r="F30" s="241"/>
      <c r="G30" s="241"/>
      <c r="H30" s="242"/>
      <c r="I30" s="243"/>
      <c r="J30" s="243"/>
      <c r="K30" s="243"/>
      <c r="L30" s="243"/>
      <c r="M30" s="243"/>
      <c r="N30" s="243"/>
      <c r="O30" s="243"/>
      <c r="P30" s="243"/>
      <c r="Q30" s="243"/>
      <c r="R30" s="243"/>
      <c r="S30" s="243"/>
      <c r="T30" s="243"/>
      <c r="U30" s="243"/>
      <c r="V30" s="243"/>
      <c r="X30" s="243"/>
      <c r="Y30" s="243">
        <f>+Y24+Y26+Y28</f>
        <v>7085200</v>
      </c>
      <c r="Z30" s="243"/>
      <c r="AA30" s="243"/>
      <c r="AB30" s="243"/>
      <c r="AC30" s="243"/>
      <c r="AD30" s="243"/>
      <c r="AE30" s="243"/>
      <c r="AG30" s="243"/>
      <c r="BA30" s="348"/>
      <c r="CB30" s="258"/>
      <c r="CQ30" s="240"/>
      <c r="DA30" s="240"/>
      <c r="DD30" s="256"/>
      <c r="DF30" s="258"/>
      <c r="FD30" s="280">
        <f>+FD23+FD25+FD27</f>
        <v>7024345.6</v>
      </c>
      <c r="FE30" s="280">
        <f>+FE23+FE25+FE27</f>
        <v>4917041.92</v>
      </c>
      <c r="FG30" s="255">
        <f t="shared" si="58"/>
        <v>7085200</v>
      </c>
      <c r="FH30" s="147">
        <f>CV30+CL30+CB30+DF30</f>
        <v>0</v>
      </c>
      <c r="FI30" s="255">
        <f t="shared" si="60"/>
        <v>7085200</v>
      </c>
      <c r="FK30" s="255">
        <f t="shared" si="61"/>
        <v>7085200</v>
      </c>
      <c r="FO30" s="258"/>
    </row>
    <row r="31" spans="2:171" ht="12.75" customHeight="1">
      <c r="B31" s="120"/>
      <c r="C31" s="281"/>
      <c r="E31" s="277"/>
      <c r="F31" s="241"/>
      <c r="G31" s="241"/>
      <c r="H31" s="242"/>
      <c r="I31" s="243"/>
      <c r="J31" s="243"/>
      <c r="K31" s="243"/>
      <c r="L31" s="243"/>
      <c r="M31" s="243"/>
      <c r="N31" s="243"/>
      <c r="O31" s="243"/>
      <c r="P31" s="243"/>
      <c r="Q31" s="243"/>
      <c r="R31" s="243"/>
      <c r="S31" s="243"/>
      <c r="T31" s="243"/>
      <c r="U31" s="243"/>
      <c r="V31" s="243"/>
      <c r="X31" s="243"/>
      <c r="Y31" s="243">
        <f>+Y23+Y25+Y27</f>
        <v>7024345.6</v>
      </c>
      <c r="Z31" s="243"/>
      <c r="AA31" s="243"/>
      <c r="AB31" s="243"/>
      <c r="AC31" s="243"/>
      <c r="AD31" s="243"/>
      <c r="AE31" s="243"/>
      <c r="AG31" s="243"/>
      <c r="BP31" s="282"/>
      <c r="CB31" s="258"/>
      <c r="CQ31" s="240"/>
      <c r="DA31" s="240"/>
      <c r="DF31" s="258"/>
      <c r="FD31" s="280"/>
      <c r="FG31" s="255">
        <f t="shared" si="58"/>
        <v>7024345.6</v>
      </c>
      <c r="FK31" s="255">
        <f t="shared" si="61"/>
        <v>7024345.6</v>
      </c>
      <c r="FO31" s="258">
        <f>+FO23+FO25+FO27</f>
        <v>7024345.6</v>
      </c>
    </row>
    <row r="32" spans="2:163" ht="12.75" customHeight="1">
      <c r="B32" s="120"/>
      <c r="C32" s="281"/>
      <c r="E32" s="277"/>
      <c r="F32" s="241"/>
      <c r="G32" s="241"/>
      <c r="H32" s="242"/>
      <c r="I32" s="243"/>
      <c r="J32" s="243"/>
      <c r="K32" s="243"/>
      <c r="L32" s="243"/>
      <c r="M32" s="243"/>
      <c r="N32" s="243"/>
      <c r="O32" s="243"/>
      <c r="P32" s="243"/>
      <c r="Q32" s="243"/>
      <c r="R32" s="243"/>
      <c r="S32" s="243"/>
      <c r="T32" s="243"/>
      <c r="U32" s="243"/>
      <c r="V32" s="243"/>
      <c r="X32" s="243"/>
      <c r="Y32" s="243"/>
      <c r="Z32" s="243"/>
      <c r="AA32" s="243"/>
      <c r="AB32" s="243">
        <f>+Y39+Y40</f>
        <v>7262480</v>
      </c>
      <c r="AC32" s="243"/>
      <c r="AD32" s="243"/>
      <c r="AE32" s="243"/>
      <c r="AG32" s="243"/>
      <c r="CB32" s="258"/>
      <c r="CQ32" s="240"/>
      <c r="DA32" s="240"/>
      <c r="DF32" s="258"/>
      <c r="FD32" s="280"/>
      <c r="FG32" s="258"/>
    </row>
    <row r="33" spans="1:174" s="294" customFormat="1" ht="12.75" customHeight="1">
      <c r="A33" s="600"/>
      <c r="B33" s="120"/>
      <c r="C33" s="283"/>
      <c r="D33" s="284"/>
      <c r="E33" s="285"/>
      <c r="F33" s="286"/>
      <c r="G33" s="286"/>
      <c r="H33" s="287"/>
      <c r="I33" s="288"/>
      <c r="J33" s="288"/>
      <c r="K33" s="288"/>
      <c r="L33" s="288"/>
      <c r="M33" s="288"/>
      <c r="N33" s="288"/>
      <c r="O33" s="288"/>
      <c r="P33" s="288"/>
      <c r="Q33" s="288"/>
      <c r="R33" s="288"/>
      <c r="S33" s="288"/>
      <c r="T33" s="288"/>
      <c r="U33" s="330">
        <f>SUM(U23:U29)</f>
        <v>8709856.26</v>
      </c>
      <c r="V33" s="288"/>
      <c r="W33" s="288"/>
      <c r="X33" s="288"/>
      <c r="Y33" s="330">
        <f>SUM(Y23:Y28)</f>
        <v>14109545.6</v>
      </c>
      <c r="Z33" s="288"/>
      <c r="AA33" s="288"/>
      <c r="AB33" s="288"/>
      <c r="AC33" s="288"/>
      <c r="AD33" s="288"/>
      <c r="AE33" s="288"/>
      <c r="AF33" s="289"/>
      <c r="AG33" s="288"/>
      <c r="AH33" s="290"/>
      <c r="AI33" s="291"/>
      <c r="AJ33" s="289"/>
      <c r="AK33" s="291"/>
      <c r="AL33" s="290"/>
      <c r="AM33" s="284"/>
      <c r="AN33" s="284"/>
      <c r="AO33" s="284"/>
      <c r="AP33" s="284"/>
      <c r="AQ33" s="284"/>
      <c r="AR33" s="284"/>
      <c r="AS33" s="284"/>
      <c r="AT33" s="284"/>
      <c r="AU33" s="284"/>
      <c r="AV33" s="284"/>
      <c r="AW33" s="291"/>
      <c r="AX33" s="291"/>
      <c r="AY33" s="292"/>
      <c r="AZ33" s="292"/>
      <c r="BA33" s="291"/>
      <c r="BB33" s="291"/>
      <c r="BC33" s="446"/>
      <c r="BD33" s="446"/>
      <c r="BE33" s="284"/>
      <c r="BF33" s="293"/>
      <c r="BG33" s="293"/>
      <c r="BH33" s="288"/>
      <c r="BN33" s="295"/>
      <c r="BO33" s="295"/>
      <c r="BP33" s="295"/>
      <c r="BQ33" s="296">
        <f>SUM(BQ23:BQ32)</f>
        <v>4570948.032</v>
      </c>
      <c r="BR33" s="296"/>
      <c r="BS33" s="296"/>
      <c r="CC33" s="297"/>
      <c r="CD33" s="296"/>
      <c r="CE33" s="296"/>
      <c r="CF33" s="296"/>
      <c r="CG33" s="284"/>
      <c r="CH33" s="298"/>
      <c r="CL33" s="296"/>
      <c r="CN33" s="296"/>
      <c r="CQ33" s="284"/>
      <c r="DA33" s="284"/>
      <c r="DF33" s="296"/>
      <c r="FD33" s="391"/>
      <c r="FE33" s="299"/>
      <c r="FF33" s="299"/>
      <c r="FJ33" s="424"/>
      <c r="FR33" s="296"/>
    </row>
    <row r="34" spans="2:162" ht="12.75" customHeight="1">
      <c r="B34" s="120"/>
      <c r="C34" s="240" t="s">
        <v>279</v>
      </c>
      <c r="D34" s="621" t="s">
        <v>1010</v>
      </c>
      <c r="E34" s="621"/>
      <c r="F34" s="621"/>
      <c r="G34" s="241"/>
      <c r="H34" s="242"/>
      <c r="I34" s="243"/>
      <c r="J34" s="243"/>
      <c r="K34" s="243"/>
      <c r="L34" s="243"/>
      <c r="M34" s="243"/>
      <c r="N34" s="243"/>
      <c r="O34" s="243"/>
      <c r="P34" s="243"/>
      <c r="Q34" s="243"/>
      <c r="R34" s="243"/>
      <c r="S34" s="243"/>
      <c r="T34" s="243"/>
      <c r="U34" s="243"/>
      <c r="V34" s="243"/>
      <c r="X34" s="243"/>
      <c r="Y34" s="243"/>
      <c r="Z34" s="243"/>
      <c r="AA34" s="243"/>
      <c r="AB34" s="242"/>
      <c r="AC34" s="242"/>
      <c r="AD34" s="242"/>
      <c r="AE34" s="242"/>
      <c r="AG34" s="243"/>
      <c r="AH34" s="244"/>
      <c r="AV34" s="241"/>
      <c r="BN34" s="255"/>
      <c r="BO34" s="255"/>
      <c r="BP34" s="255"/>
      <c r="CQ34" s="240"/>
      <c r="CW34" s="256"/>
      <c r="DA34" s="240"/>
      <c r="DF34" s="258"/>
      <c r="DZ34" s="258"/>
      <c r="FD34" s="392"/>
      <c r="FE34" s="177"/>
      <c r="FF34" s="177"/>
    </row>
    <row r="35" spans="2:177" ht="12.75">
      <c r="B35" s="120">
        <v>32</v>
      </c>
      <c r="C35" s="301" t="s">
        <v>327</v>
      </c>
      <c r="D35" s="251" t="s">
        <v>296</v>
      </c>
      <c r="E35" s="302" t="s">
        <v>280</v>
      </c>
      <c r="F35" s="241" t="s">
        <v>1234</v>
      </c>
      <c r="G35" s="303" t="s">
        <v>281</v>
      </c>
      <c r="H35" s="242">
        <v>4270000</v>
      </c>
      <c r="I35" s="243"/>
      <c r="J35" s="243"/>
      <c r="K35" s="243"/>
      <c r="L35" s="243"/>
      <c r="M35" s="135">
        <f>+H35-K35</f>
        <v>4270000</v>
      </c>
      <c r="N35" s="122">
        <f aca="true" t="shared" si="67" ref="N35:N50">+M35</f>
        <v>4270000</v>
      </c>
      <c r="O35" s="135"/>
      <c r="P35" s="135"/>
      <c r="Q35" s="135"/>
      <c r="R35" s="135"/>
      <c r="S35" s="135"/>
      <c r="T35" s="135"/>
      <c r="U35" s="372">
        <f aca="true" t="shared" si="68" ref="U35:U50">+FH35</f>
        <v>4259238.59</v>
      </c>
      <c r="V35" s="135">
        <f>+M35</f>
        <v>4270000</v>
      </c>
      <c r="X35" s="243"/>
      <c r="Y35" s="122">
        <f aca="true" t="shared" si="69" ref="Y35:Y43">V35</f>
        <v>4270000</v>
      </c>
      <c r="Z35" s="122">
        <f aca="true" t="shared" si="70" ref="Z35:Z71">+Y35*0.15</f>
        <v>640500</v>
      </c>
      <c r="AA35" s="122">
        <f aca="true" t="shared" si="71" ref="AA35:AA50">+Y35*0.5</f>
        <v>2135000</v>
      </c>
      <c r="AB35" s="122">
        <f aca="true" t="shared" si="72" ref="AB35:AB50">+Y35*0.35</f>
        <v>1494500</v>
      </c>
      <c r="AC35" s="122">
        <f aca="true" t="shared" si="73" ref="AC35:AC50">+Y35*0.85</f>
        <v>3629500</v>
      </c>
      <c r="AD35" s="122">
        <f aca="true" t="shared" si="74" ref="AD35:AD50">+H35-Y35-K35</f>
        <v>0</v>
      </c>
      <c r="AE35" s="122">
        <f aca="true" t="shared" si="75" ref="AE35:AE50">K35</f>
        <v>0</v>
      </c>
      <c r="AF35" s="244">
        <v>38776</v>
      </c>
      <c r="AG35" s="243" t="s">
        <v>282</v>
      </c>
      <c r="AH35" s="244">
        <v>38748</v>
      </c>
      <c r="AJ35" s="244">
        <v>38889</v>
      </c>
      <c r="AK35" s="249">
        <v>6760</v>
      </c>
      <c r="AN35" s="251" t="s">
        <v>1234</v>
      </c>
      <c r="AO35" s="240" t="s">
        <v>17</v>
      </c>
      <c r="AP35" s="251" t="s">
        <v>283</v>
      </c>
      <c r="AQ35" s="240">
        <v>17</v>
      </c>
      <c r="AR35" s="240">
        <v>71100</v>
      </c>
      <c r="AS35" s="247" t="s">
        <v>1133</v>
      </c>
      <c r="AT35" s="248" t="s">
        <v>1143</v>
      </c>
      <c r="AU35" s="241" t="s">
        <v>284</v>
      </c>
      <c r="AV35" s="304" t="s">
        <v>395</v>
      </c>
      <c r="AW35" s="163" t="s">
        <v>81</v>
      </c>
      <c r="AY35" s="176" t="s">
        <v>1136</v>
      </c>
      <c r="AZ35" s="250" t="s">
        <v>1144</v>
      </c>
      <c r="BA35" s="624" t="s">
        <v>711</v>
      </c>
      <c r="BB35" s="624"/>
      <c r="BC35" s="444">
        <v>899</v>
      </c>
      <c r="BD35" s="445">
        <v>38930</v>
      </c>
      <c r="BE35" s="241"/>
      <c r="BK35" s="255" t="s">
        <v>1301</v>
      </c>
      <c r="BL35" s="256">
        <v>39094</v>
      </c>
      <c r="BM35" s="256">
        <v>39125</v>
      </c>
      <c r="BN35" s="256">
        <v>39094</v>
      </c>
      <c r="BO35" s="306">
        <f>18+2+1.62</f>
        <v>21.62</v>
      </c>
      <c r="BP35" s="124">
        <v>39979</v>
      </c>
      <c r="BQ35" s="151">
        <f aca="true" t="shared" si="76" ref="BQ35:BQ50">+Y35*0.3</f>
        <v>1281000</v>
      </c>
      <c r="BR35" s="135">
        <f>+AC35*0.3</f>
        <v>1088850</v>
      </c>
      <c r="BS35" s="135">
        <f>+Z35*0.3</f>
        <v>192150</v>
      </c>
      <c r="BT35" s="259">
        <v>68</v>
      </c>
      <c r="BU35" s="178">
        <v>39161</v>
      </c>
      <c r="BY35" s="305" t="s">
        <v>732</v>
      </c>
      <c r="BZ35" s="256">
        <v>39177</v>
      </c>
      <c r="CA35" s="258">
        <f>+BR35+BS35</f>
        <v>1281000</v>
      </c>
      <c r="CB35" s="258">
        <v>1264808.4</v>
      </c>
      <c r="CD35" s="143">
        <f>+CB35</f>
        <v>1264808.4</v>
      </c>
      <c r="CE35" s="143">
        <f>+CD35*0.85</f>
        <v>1075087.14</v>
      </c>
      <c r="CF35" s="143">
        <f>+CD35*0.15</f>
        <v>189721.25999999998</v>
      </c>
      <c r="CG35" s="246">
        <v>336</v>
      </c>
      <c r="CH35" s="256">
        <v>39696</v>
      </c>
      <c r="CI35" s="305" t="s">
        <v>1074</v>
      </c>
      <c r="CJ35" s="256">
        <v>39716</v>
      </c>
      <c r="CK35" s="258">
        <f>+CD35</f>
        <v>1264808.4</v>
      </c>
      <c r="CL35" s="258">
        <v>1448436.4</v>
      </c>
      <c r="CN35" s="143">
        <f>+CL35</f>
        <v>1448436.4</v>
      </c>
      <c r="CO35" s="143">
        <f>+CN35*0.85</f>
        <v>1231170.94</v>
      </c>
      <c r="CP35" s="143">
        <f>+CN35*0.15</f>
        <v>217265.46</v>
      </c>
      <c r="CQ35" s="240">
        <v>622</v>
      </c>
      <c r="CR35" s="256">
        <v>39791</v>
      </c>
      <c r="CS35" s="306" t="s">
        <v>645</v>
      </c>
      <c r="CU35" s="123">
        <f>CN35</f>
        <v>1448436.4</v>
      </c>
      <c r="CV35" s="258">
        <v>1371834.48</v>
      </c>
      <c r="CW35" s="256">
        <v>39994</v>
      </c>
      <c r="CX35" s="258">
        <v>62255.200000000186</v>
      </c>
      <c r="CY35" s="143">
        <f>+CX35*0.85</f>
        <v>52916.92000000016</v>
      </c>
      <c r="CZ35" s="143">
        <f>+CX35*0.15</f>
        <v>9338.280000000028</v>
      </c>
      <c r="DA35" s="240">
        <v>450</v>
      </c>
      <c r="DB35" s="256">
        <v>39997</v>
      </c>
      <c r="DC35" s="305" t="s">
        <v>63</v>
      </c>
      <c r="DD35" s="256">
        <v>40024</v>
      </c>
      <c r="DE35" s="258">
        <f>+CX35</f>
        <v>62255.200000000186</v>
      </c>
      <c r="DF35" s="258">
        <f>181157.94-6998.63</f>
        <v>174159.31</v>
      </c>
      <c r="DG35" s="398">
        <v>40007</v>
      </c>
      <c r="DH35" s="255">
        <v>0</v>
      </c>
      <c r="DO35" s="255">
        <v>0</v>
      </c>
      <c r="DZ35" s="258"/>
      <c r="FD35" s="159">
        <f aca="true" t="shared" si="77" ref="FD35:FD50">CA35+CK35+CU35+DE35+DO35+DY35+EI35</f>
        <v>4056500</v>
      </c>
      <c r="FE35" s="388">
        <f aca="true" t="shared" si="78" ref="FE35:FE50">CK35+CU35+DE35+DO35+DY35+EI35+ES35+FC35+GJ35</f>
        <v>2775500</v>
      </c>
      <c r="FF35" s="159">
        <f aca="true" t="shared" si="79" ref="FF35:FF50">Y35*0.3</f>
        <v>1281000</v>
      </c>
      <c r="FG35" s="147">
        <f>+N35+L35</f>
        <v>4270000</v>
      </c>
      <c r="FH35" s="147">
        <f>CL35+CB35+DF35+DP35+CV35+DZ35+EJ35+ET35</f>
        <v>4259238.59</v>
      </c>
      <c r="FI35" s="145">
        <f aca="true" t="shared" si="80" ref="FI35:FI51">FG35-FH35</f>
        <v>10761.410000000149</v>
      </c>
      <c r="FJ35" s="586">
        <f aca="true" t="shared" si="81" ref="FJ35:FJ50">FH35/FG35</f>
        <v>0.9974797634660422</v>
      </c>
      <c r="FK35" s="135">
        <f aca="true" t="shared" si="82" ref="FK35:FK50">Y35</f>
        <v>4270000</v>
      </c>
      <c r="FL35" s="135">
        <f aca="true" t="shared" si="83" ref="FL35:FL50">BQ35</f>
        <v>1281000</v>
      </c>
      <c r="FM35" s="135">
        <f aca="true" t="shared" si="84" ref="FM35:FM50">+CX35+CN35+CD35+DH35+DR35+EB35+EL35</f>
        <v>2775500</v>
      </c>
      <c r="FN35" s="401">
        <f aca="true" t="shared" si="85" ref="FN35:FN51">+FO35/FK35</f>
        <v>0.95</v>
      </c>
      <c r="FO35" s="135">
        <f aca="true" t="shared" si="86" ref="FO35:FO50">+DH35+CX35+CN35+CD35+BQ35+DR35+EB35+EL35</f>
        <v>4056500</v>
      </c>
      <c r="FP35" s="135">
        <f aca="true" t="shared" si="87" ref="FP35:FP50">FK35-FO35</f>
        <v>213500</v>
      </c>
      <c r="FQ35" s="148">
        <f aca="true" t="shared" si="88" ref="FQ35:FQ48">+FM35/FK35</f>
        <v>0.65</v>
      </c>
      <c r="FR35" s="117">
        <f aca="true" t="shared" si="89" ref="FR35:FR50">+V35-FH35</f>
        <v>10761.410000000149</v>
      </c>
      <c r="FS35" s="491" t="s">
        <v>414</v>
      </c>
      <c r="FT35" s="258">
        <f>+FK35*0.95</f>
        <v>4056500</v>
      </c>
      <c r="FU35" s="258">
        <f>+FT35-FO35</f>
        <v>0</v>
      </c>
    </row>
    <row r="36" spans="2:176" ht="12.75">
      <c r="B36" s="120"/>
      <c r="C36" s="301" t="s">
        <v>327</v>
      </c>
      <c r="D36" s="251" t="s">
        <v>296</v>
      </c>
      <c r="E36" s="302" t="s">
        <v>1127</v>
      </c>
      <c r="F36" s="241" t="s">
        <v>1234</v>
      </c>
      <c r="G36" s="303" t="s">
        <v>281</v>
      </c>
      <c r="H36" s="242">
        <v>480000</v>
      </c>
      <c r="I36" s="243"/>
      <c r="J36" s="243"/>
      <c r="K36" s="243"/>
      <c r="L36" s="243"/>
      <c r="M36" s="135">
        <f>+H36</f>
        <v>480000</v>
      </c>
      <c r="N36" s="122">
        <f t="shared" si="67"/>
        <v>480000</v>
      </c>
      <c r="O36" s="135"/>
      <c r="P36" s="135"/>
      <c r="Q36" s="135"/>
      <c r="R36" s="135"/>
      <c r="S36" s="135"/>
      <c r="T36" s="135"/>
      <c r="U36" s="372">
        <f t="shared" si="68"/>
        <v>478690.79</v>
      </c>
      <c r="V36" s="135">
        <f>+M36</f>
        <v>480000</v>
      </c>
      <c r="X36" s="243"/>
      <c r="Y36" s="122">
        <f t="shared" si="69"/>
        <v>480000</v>
      </c>
      <c r="Z36" s="122">
        <f t="shared" si="70"/>
        <v>72000</v>
      </c>
      <c r="AA36" s="122">
        <f t="shared" si="71"/>
        <v>240000</v>
      </c>
      <c r="AB36" s="122">
        <f t="shared" si="72"/>
        <v>168000</v>
      </c>
      <c r="AC36" s="122">
        <f t="shared" si="73"/>
        <v>408000</v>
      </c>
      <c r="AD36" s="122">
        <f t="shared" si="74"/>
        <v>0</v>
      </c>
      <c r="AE36" s="122">
        <f t="shared" si="75"/>
        <v>0</v>
      </c>
      <c r="AF36" s="244">
        <v>39548</v>
      </c>
      <c r="AG36" s="243" t="s">
        <v>1128</v>
      </c>
      <c r="AH36" s="244"/>
      <c r="AJ36" s="244">
        <v>39561</v>
      </c>
      <c r="AK36" s="249" t="s">
        <v>1129</v>
      </c>
      <c r="AN36" s="251" t="s">
        <v>1234</v>
      </c>
      <c r="AO36" s="240" t="s">
        <v>17</v>
      </c>
      <c r="AP36" s="251" t="s">
        <v>283</v>
      </c>
      <c r="AQ36" s="240">
        <v>17</v>
      </c>
      <c r="AR36" s="240">
        <v>71100</v>
      </c>
      <c r="AS36" s="247" t="s">
        <v>1060</v>
      </c>
      <c r="AT36" s="248" t="s">
        <v>1143</v>
      </c>
      <c r="AU36" s="241" t="s">
        <v>284</v>
      </c>
      <c r="AV36" s="304" t="s">
        <v>395</v>
      </c>
      <c r="AW36" s="163" t="s">
        <v>81</v>
      </c>
      <c r="AY36" s="176" t="s">
        <v>1136</v>
      </c>
      <c r="AZ36" s="250" t="s">
        <v>1144</v>
      </c>
      <c r="BA36" s="624" t="s">
        <v>684</v>
      </c>
      <c r="BB36" s="624"/>
      <c r="BC36" s="447">
        <v>334</v>
      </c>
      <c r="BD36" s="445">
        <v>39696</v>
      </c>
      <c r="BE36" s="241"/>
      <c r="BK36" s="255" t="s">
        <v>1301</v>
      </c>
      <c r="BL36" s="256">
        <v>39730</v>
      </c>
      <c r="BM36" s="398">
        <v>39702</v>
      </c>
      <c r="BN36" s="256">
        <v>39764</v>
      </c>
      <c r="BO36" s="306">
        <v>2.85</v>
      </c>
      <c r="BP36" s="124">
        <v>39979</v>
      </c>
      <c r="BQ36" s="151">
        <f t="shared" si="76"/>
        <v>144000</v>
      </c>
      <c r="BR36" s="135">
        <f>+AC36*0.3</f>
        <v>122400</v>
      </c>
      <c r="BS36" s="135">
        <f>+Z36*0.3</f>
        <v>21600</v>
      </c>
      <c r="BT36" s="277">
        <v>429</v>
      </c>
      <c r="BU36" s="178">
        <v>39735</v>
      </c>
      <c r="BY36" s="255" t="s">
        <v>410</v>
      </c>
      <c r="BZ36" s="256">
        <v>39735</v>
      </c>
      <c r="CA36" s="258">
        <f>+BR36+BS36</f>
        <v>144000</v>
      </c>
      <c r="CB36" s="258">
        <v>138000</v>
      </c>
      <c r="CC36" s="265">
        <v>39854</v>
      </c>
      <c r="CD36" s="143">
        <f>+CB36</f>
        <v>138000</v>
      </c>
      <c r="CE36" s="143">
        <f>+CD36*0.85</f>
        <v>117300</v>
      </c>
      <c r="CF36" s="143">
        <f>+CD36*0.15</f>
        <v>20700</v>
      </c>
      <c r="CG36" s="246">
        <v>123</v>
      </c>
      <c r="CH36" s="256">
        <v>39888</v>
      </c>
      <c r="CI36" s="305" t="s">
        <v>412</v>
      </c>
      <c r="CJ36" s="256">
        <v>39910</v>
      </c>
      <c r="CK36" s="258">
        <f>+CD36</f>
        <v>138000</v>
      </c>
      <c r="CL36" s="258">
        <v>340690.79</v>
      </c>
      <c r="CM36" s="256">
        <v>40006</v>
      </c>
      <c r="CN36" s="258">
        <v>174000</v>
      </c>
      <c r="CO36" s="143">
        <f>+CN36*0.85</f>
        <v>147900</v>
      </c>
      <c r="CP36" s="143">
        <f>+CN36*0.15</f>
        <v>26100</v>
      </c>
      <c r="CQ36" s="241">
        <v>549</v>
      </c>
      <c r="CR36" s="256">
        <v>40067</v>
      </c>
      <c r="CS36" s="305" t="s">
        <v>70</v>
      </c>
      <c r="CT36" s="256">
        <v>40081</v>
      </c>
      <c r="CU36" s="123">
        <f>CN36</f>
        <v>174000</v>
      </c>
      <c r="CW36" s="256"/>
      <c r="CX36" s="258"/>
      <c r="DA36" s="240"/>
      <c r="DF36"/>
      <c r="DZ36" s="258"/>
      <c r="FD36" s="159">
        <f t="shared" si="77"/>
        <v>456000</v>
      </c>
      <c r="FE36" s="388">
        <f t="shared" si="78"/>
        <v>312000</v>
      </c>
      <c r="FF36" s="159">
        <f t="shared" si="79"/>
        <v>144000</v>
      </c>
      <c r="FG36" s="147">
        <f>+N36+L36</f>
        <v>480000</v>
      </c>
      <c r="FH36" s="147">
        <f aca="true" t="shared" si="90" ref="FH36:FH47">CL36+CB36+DF36+DP36+CV36+DZ36+EJ36+ET36</f>
        <v>478690.79</v>
      </c>
      <c r="FI36" s="145">
        <f t="shared" si="80"/>
        <v>1309.210000000021</v>
      </c>
      <c r="FJ36" s="586">
        <f t="shared" si="81"/>
        <v>0.9972724791666666</v>
      </c>
      <c r="FK36" s="135">
        <f t="shared" si="82"/>
        <v>480000</v>
      </c>
      <c r="FL36" s="135">
        <f t="shared" si="83"/>
        <v>144000</v>
      </c>
      <c r="FM36" s="135">
        <f t="shared" si="84"/>
        <v>312000</v>
      </c>
      <c r="FN36" s="401">
        <f t="shared" si="85"/>
        <v>0.95</v>
      </c>
      <c r="FO36" s="135">
        <f t="shared" si="86"/>
        <v>456000</v>
      </c>
      <c r="FP36" s="135">
        <f t="shared" si="87"/>
        <v>24000</v>
      </c>
      <c r="FQ36" s="148">
        <f t="shared" si="88"/>
        <v>0.65</v>
      </c>
      <c r="FR36" s="117">
        <f t="shared" si="89"/>
        <v>1309.210000000021</v>
      </c>
      <c r="FS36" s="258">
        <f>+FK36*0.95</f>
        <v>456000</v>
      </c>
      <c r="FT36" s="258">
        <f>+FS36-FO36</f>
        <v>0</v>
      </c>
    </row>
    <row r="37" spans="2:177" ht="12.75" customHeight="1">
      <c r="B37" s="120">
        <f>1+B35</f>
        <v>33</v>
      </c>
      <c r="C37" s="301" t="s">
        <v>353</v>
      </c>
      <c r="D37" s="251" t="s">
        <v>427</v>
      </c>
      <c r="E37" s="251" t="s">
        <v>427</v>
      </c>
      <c r="F37" s="241" t="s">
        <v>354</v>
      </c>
      <c r="G37" s="241" t="s">
        <v>428</v>
      </c>
      <c r="H37" s="242">
        <v>4090000</v>
      </c>
      <c r="I37" s="243"/>
      <c r="J37" s="243"/>
      <c r="K37" s="243"/>
      <c r="L37" s="243"/>
      <c r="M37" s="135">
        <f aca="true" t="shared" si="91" ref="M37:M42">+H37-K37</f>
        <v>4090000</v>
      </c>
      <c r="N37" s="122">
        <f t="shared" si="67"/>
        <v>4090000</v>
      </c>
      <c r="O37" s="135"/>
      <c r="P37" s="135"/>
      <c r="Q37" s="135"/>
      <c r="R37" s="135"/>
      <c r="S37" s="135"/>
      <c r="T37" s="135"/>
      <c r="U37" s="372">
        <f t="shared" si="68"/>
        <v>3541165.86</v>
      </c>
      <c r="V37" s="135">
        <f>+M37</f>
        <v>4090000</v>
      </c>
      <c r="X37" s="243"/>
      <c r="Y37" s="122">
        <f t="shared" si="69"/>
        <v>4090000</v>
      </c>
      <c r="Z37" s="122">
        <f t="shared" si="70"/>
        <v>613500</v>
      </c>
      <c r="AA37" s="122">
        <f t="shared" si="71"/>
        <v>2045000</v>
      </c>
      <c r="AB37" s="122">
        <f t="shared" si="72"/>
        <v>1431500</v>
      </c>
      <c r="AC37" s="122">
        <f t="shared" si="73"/>
        <v>3476500</v>
      </c>
      <c r="AD37" s="122">
        <f t="shared" si="74"/>
        <v>0</v>
      </c>
      <c r="AE37" s="122">
        <f t="shared" si="75"/>
        <v>0</v>
      </c>
      <c r="AF37" s="244">
        <v>38898</v>
      </c>
      <c r="AG37" s="243" t="s">
        <v>429</v>
      </c>
      <c r="AH37" s="244">
        <v>38898</v>
      </c>
      <c r="AJ37" s="244">
        <v>38903</v>
      </c>
      <c r="AK37" s="246">
        <v>7948</v>
      </c>
      <c r="AN37" s="251" t="s">
        <v>354</v>
      </c>
      <c r="AO37" s="240" t="s">
        <v>15</v>
      </c>
      <c r="AP37" s="251" t="s">
        <v>430</v>
      </c>
      <c r="AQ37" s="240">
        <v>1</v>
      </c>
      <c r="AR37" s="240">
        <v>70031</v>
      </c>
      <c r="AS37" s="248" t="s">
        <v>520</v>
      </c>
      <c r="AT37" s="248" t="s">
        <v>523</v>
      </c>
      <c r="AU37" s="241" t="s">
        <v>131</v>
      </c>
      <c r="AV37" s="304" t="s">
        <v>387</v>
      </c>
      <c r="AW37" s="246">
        <v>81001210723</v>
      </c>
      <c r="AY37" s="250" t="s">
        <v>682</v>
      </c>
      <c r="BA37" s="624" t="s">
        <v>61</v>
      </c>
      <c r="BB37" s="626"/>
      <c r="BC37" s="444">
        <v>901</v>
      </c>
      <c r="BD37" s="445">
        <v>38930</v>
      </c>
      <c r="BE37" s="241"/>
      <c r="BK37" s="255" t="s">
        <v>1301</v>
      </c>
      <c r="BL37" s="256">
        <v>39118</v>
      </c>
      <c r="BM37" s="256">
        <v>39196</v>
      </c>
      <c r="BN37" s="256">
        <v>39142</v>
      </c>
      <c r="BO37" s="306">
        <f>18+2.05</f>
        <v>20.05</v>
      </c>
      <c r="BP37" s="124">
        <v>39979</v>
      </c>
      <c r="BQ37" s="151">
        <f t="shared" si="76"/>
        <v>1227000</v>
      </c>
      <c r="BR37" s="135">
        <f>+AC37*0.3</f>
        <v>1042950</v>
      </c>
      <c r="BS37" s="135">
        <f>+Z37*0.3</f>
        <v>184050</v>
      </c>
      <c r="BT37" s="259">
        <v>202</v>
      </c>
      <c r="BU37" s="178">
        <v>39258</v>
      </c>
      <c r="BY37" s="305" t="s">
        <v>733</v>
      </c>
      <c r="BZ37" s="256">
        <v>39282</v>
      </c>
      <c r="CA37" s="258">
        <f>BQ37</f>
        <v>1227000</v>
      </c>
      <c r="CB37" s="258">
        <v>3541165.86</v>
      </c>
      <c r="CD37" s="143">
        <v>2658500</v>
      </c>
      <c r="CE37" s="143">
        <f>+CD37*0.85</f>
        <v>2259725</v>
      </c>
      <c r="CF37" s="143">
        <f>+CD37*0.15</f>
        <v>398775</v>
      </c>
      <c r="CG37" s="246">
        <v>227</v>
      </c>
      <c r="CH37" s="256">
        <v>39930</v>
      </c>
      <c r="CI37" s="305" t="s">
        <v>1412</v>
      </c>
      <c r="CJ37" s="256">
        <v>39947</v>
      </c>
      <c r="CK37" s="258">
        <f>+CD37</f>
        <v>2658500</v>
      </c>
      <c r="CQ37" s="240"/>
      <c r="CW37" s="256"/>
      <c r="CX37" s="258"/>
      <c r="DA37" s="240"/>
      <c r="DF37" s="258"/>
      <c r="DZ37" s="258"/>
      <c r="FD37" s="159">
        <f t="shared" si="77"/>
        <v>3885500</v>
      </c>
      <c r="FE37" s="388">
        <f t="shared" si="78"/>
        <v>2658500</v>
      </c>
      <c r="FF37" s="159">
        <f t="shared" si="79"/>
        <v>1227000</v>
      </c>
      <c r="FG37" s="147">
        <f>+N37+L37</f>
        <v>4090000</v>
      </c>
      <c r="FH37" s="147">
        <f t="shared" si="90"/>
        <v>3541165.86</v>
      </c>
      <c r="FI37" s="145">
        <f t="shared" si="80"/>
        <v>548834.1400000001</v>
      </c>
      <c r="FJ37" s="421">
        <f t="shared" si="81"/>
        <v>0.8658107237163813</v>
      </c>
      <c r="FK37" s="135">
        <f t="shared" si="82"/>
        <v>4090000</v>
      </c>
      <c r="FL37" s="135">
        <f t="shared" si="83"/>
        <v>1227000</v>
      </c>
      <c r="FM37" s="135">
        <f t="shared" si="84"/>
        <v>2658500</v>
      </c>
      <c r="FN37" s="379">
        <f t="shared" si="85"/>
        <v>0.95</v>
      </c>
      <c r="FO37" s="135">
        <f t="shared" si="86"/>
        <v>3885500</v>
      </c>
      <c r="FP37" s="135">
        <f t="shared" si="87"/>
        <v>204500</v>
      </c>
      <c r="FQ37" s="148">
        <f t="shared" si="88"/>
        <v>0.65</v>
      </c>
      <c r="FR37" s="117">
        <f t="shared" si="89"/>
        <v>548834.1400000001</v>
      </c>
      <c r="FS37" s="491" t="s">
        <v>417</v>
      </c>
      <c r="FT37" s="258"/>
      <c r="FU37" s="258"/>
    </row>
    <row r="38" spans="2:175" ht="12.75" customHeight="1">
      <c r="B38" s="120">
        <f aca="true" t="shared" si="92" ref="B38:B46">1+B37</f>
        <v>34</v>
      </c>
      <c r="C38" s="301" t="s">
        <v>353</v>
      </c>
      <c r="D38" s="251" t="s">
        <v>514</v>
      </c>
      <c r="E38" s="251" t="s">
        <v>514</v>
      </c>
      <c r="F38" s="241" t="s">
        <v>354</v>
      </c>
      <c r="G38" s="241" t="s">
        <v>428</v>
      </c>
      <c r="H38" s="242">
        <v>510000</v>
      </c>
      <c r="I38" s="243"/>
      <c r="J38" s="243"/>
      <c r="K38" s="243"/>
      <c r="L38" s="243"/>
      <c r="M38" s="135">
        <f t="shared" si="91"/>
        <v>510000</v>
      </c>
      <c r="N38" s="122">
        <f t="shared" si="67"/>
        <v>510000</v>
      </c>
      <c r="O38" s="135"/>
      <c r="P38" s="135"/>
      <c r="Q38" s="135"/>
      <c r="R38" s="135"/>
      <c r="S38" s="135"/>
      <c r="T38" s="135"/>
      <c r="U38" s="372">
        <f t="shared" si="68"/>
        <v>510000</v>
      </c>
      <c r="V38" s="135">
        <f>+M38</f>
        <v>510000</v>
      </c>
      <c r="X38" s="243"/>
      <c r="Y38" s="122">
        <f t="shared" si="69"/>
        <v>510000</v>
      </c>
      <c r="Z38" s="122">
        <f t="shared" si="70"/>
        <v>76500</v>
      </c>
      <c r="AA38" s="122">
        <f>+Y38*0.5</f>
        <v>255000</v>
      </c>
      <c r="AB38" s="122">
        <f>+Y38*0.35</f>
        <v>178500</v>
      </c>
      <c r="AC38" s="122">
        <f>+Y38*0.85</f>
        <v>433500</v>
      </c>
      <c r="AD38" s="122">
        <f t="shared" si="74"/>
        <v>0</v>
      </c>
      <c r="AE38" s="122">
        <f t="shared" si="75"/>
        <v>0</v>
      </c>
      <c r="AF38" s="244">
        <v>38898</v>
      </c>
      <c r="AG38" s="243" t="s">
        <v>429</v>
      </c>
      <c r="AH38" s="244">
        <v>38898</v>
      </c>
      <c r="AJ38" s="244">
        <v>38903</v>
      </c>
      <c r="AK38" s="246">
        <v>7948</v>
      </c>
      <c r="AN38" s="251" t="s">
        <v>354</v>
      </c>
      <c r="AO38" s="240" t="s">
        <v>15</v>
      </c>
      <c r="AP38" s="251" t="s">
        <v>430</v>
      </c>
      <c r="AQ38" s="240">
        <v>1</v>
      </c>
      <c r="AR38" s="240">
        <v>70031</v>
      </c>
      <c r="AS38" s="248" t="s">
        <v>520</v>
      </c>
      <c r="AT38" s="248" t="s">
        <v>523</v>
      </c>
      <c r="AU38" s="241" t="s">
        <v>386</v>
      </c>
      <c r="AV38" s="304" t="s">
        <v>387</v>
      </c>
      <c r="AW38" s="246">
        <v>81001210723</v>
      </c>
      <c r="AY38" s="250" t="s">
        <v>682</v>
      </c>
      <c r="BA38" s="624" t="s">
        <v>61</v>
      </c>
      <c r="BB38" s="626"/>
      <c r="BC38" s="448">
        <v>296</v>
      </c>
      <c r="BD38" s="445">
        <v>39063</v>
      </c>
      <c r="BE38" s="241"/>
      <c r="BK38" s="255" t="s">
        <v>1301</v>
      </c>
      <c r="BL38" s="256">
        <v>39118</v>
      </c>
      <c r="BM38" s="256">
        <v>39196</v>
      </c>
      <c r="BN38" s="256">
        <v>39142</v>
      </c>
      <c r="BO38" s="306">
        <f>18+2.05</f>
        <v>20.05</v>
      </c>
      <c r="BP38" s="124">
        <v>39979</v>
      </c>
      <c r="BQ38" s="151">
        <f t="shared" si="76"/>
        <v>153000</v>
      </c>
      <c r="BR38" s="135">
        <f>+AC38*0.3</f>
        <v>130050</v>
      </c>
      <c r="BS38" s="135">
        <f>+Z38*0.3</f>
        <v>22950</v>
      </c>
      <c r="BT38" s="259">
        <v>202</v>
      </c>
      <c r="BU38" s="178">
        <v>39258</v>
      </c>
      <c r="BV38" s="306"/>
      <c r="BY38" s="305" t="s">
        <v>734</v>
      </c>
      <c r="BZ38" s="256">
        <v>39282</v>
      </c>
      <c r="CA38" s="258">
        <f>BQ38</f>
        <v>153000</v>
      </c>
      <c r="CB38" s="258">
        <v>510000</v>
      </c>
      <c r="CC38" s="594"/>
      <c r="CD38" s="258">
        <v>0</v>
      </c>
      <c r="CE38" s="143">
        <f>+CD38*0.85</f>
        <v>0</v>
      </c>
      <c r="CF38" s="143">
        <f>+CD38*0.15</f>
        <v>0</v>
      </c>
      <c r="CG38" s="246"/>
      <c r="CK38" s="258">
        <f>+CD38</f>
        <v>0</v>
      </c>
      <c r="CQ38" s="240"/>
      <c r="CW38" s="256"/>
      <c r="CX38" s="258"/>
      <c r="DA38" s="240"/>
      <c r="DF38" s="258"/>
      <c r="DZ38" s="258"/>
      <c r="FD38" s="159">
        <f t="shared" si="77"/>
        <v>153000</v>
      </c>
      <c r="FE38" s="388">
        <f t="shared" si="78"/>
        <v>0</v>
      </c>
      <c r="FF38" s="159">
        <f t="shared" si="79"/>
        <v>153000</v>
      </c>
      <c r="FG38" s="147">
        <f>+N38+L38</f>
        <v>510000</v>
      </c>
      <c r="FH38" s="147">
        <f t="shared" si="90"/>
        <v>510000</v>
      </c>
      <c r="FI38" s="145">
        <f t="shared" si="80"/>
        <v>0</v>
      </c>
      <c r="FJ38" s="421">
        <f t="shared" si="81"/>
        <v>1</v>
      </c>
      <c r="FK38" s="135">
        <f t="shared" si="82"/>
        <v>510000</v>
      </c>
      <c r="FL38" s="135">
        <f t="shared" si="83"/>
        <v>153000</v>
      </c>
      <c r="FM38" s="135">
        <f t="shared" si="84"/>
        <v>0</v>
      </c>
      <c r="FN38" s="401">
        <f t="shared" si="85"/>
        <v>0.3</v>
      </c>
      <c r="FO38" s="135">
        <f t="shared" si="86"/>
        <v>153000</v>
      </c>
      <c r="FP38" s="135">
        <f t="shared" si="87"/>
        <v>357000</v>
      </c>
      <c r="FQ38" s="148">
        <f t="shared" si="88"/>
        <v>0</v>
      </c>
      <c r="FR38" s="117">
        <f t="shared" si="89"/>
        <v>0</v>
      </c>
      <c r="FS38" s="258">
        <f>+FK38*0.95-FO38</f>
        <v>331500</v>
      </c>
    </row>
    <row r="39" spans="2:176" ht="12.75" customHeight="1">
      <c r="B39" s="120">
        <f t="shared" si="92"/>
        <v>35</v>
      </c>
      <c r="C39" s="307" t="s">
        <v>498</v>
      </c>
      <c r="D39" s="251" t="s">
        <v>509</v>
      </c>
      <c r="E39" s="251" t="s">
        <v>329</v>
      </c>
      <c r="F39" s="241" t="s">
        <v>1184</v>
      </c>
      <c r="G39" s="308" t="s">
        <v>285</v>
      </c>
      <c r="H39" s="242">
        <v>8565599.731286075</v>
      </c>
      <c r="I39" s="243"/>
      <c r="J39" s="243"/>
      <c r="K39" s="243"/>
      <c r="L39" s="243"/>
      <c r="M39" s="135">
        <f t="shared" si="91"/>
        <v>8565599.731286075</v>
      </c>
      <c r="N39" s="122">
        <f t="shared" si="67"/>
        <v>8565599.731286075</v>
      </c>
      <c r="O39" s="135"/>
      <c r="P39" s="135"/>
      <c r="Q39" s="135"/>
      <c r="R39" s="135"/>
      <c r="S39" s="135"/>
      <c r="T39" s="135"/>
      <c r="U39" s="372">
        <f t="shared" si="68"/>
        <v>6694086.36</v>
      </c>
      <c r="V39" s="309">
        <v>6852480</v>
      </c>
      <c r="X39" s="243"/>
      <c r="Y39" s="122">
        <f t="shared" si="69"/>
        <v>6852480</v>
      </c>
      <c r="Z39" s="122">
        <f t="shared" si="70"/>
        <v>1027872</v>
      </c>
      <c r="AA39" s="122">
        <f t="shared" si="71"/>
        <v>3426240</v>
      </c>
      <c r="AB39" s="122">
        <f t="shared" si="72"/>
        <v>2398368</v>
      </c>
      <c r="AC39" s="122">
        <f t="shared" si="73"/>
        <v>5824608</v>
      </c>
      <c r="AD39" s="122">
        <f t="shared" si="74"/>
        <v>1713119.731286075</v>
      </c>
      <c r="AE39" s="122">
        <f t="shared" si="75"/>
        <v>0</v>
      </c>
      <c r="AF39" s="244">
        <v>38860</v>
      </c>
      <c r="AG39" s="274" t="s">
        <v>286</v>
      </c>
      <c r="AH39" s="244">
        <v>38860</v>
      </c>
      <c r="AI39" s="249"/>
      <c r="AJ39" s="244">
        <v>38861</v>
      </c>
      <c r="AK39" s="249" t="s">
        <v>287</v>
      </c>
      <c r="AN39" s="251" t="s">
        <v>1184</v>
      </c>
      <c r="AO39" s="240" t="s">
        <v>15</v>
      </c>
      <c r="AP39" s="303" t="s">
        <v>288</v>
      </c>
      <c r="AQ39" s="240">
        <v>9</v>
      </c>
      <c r="AR39" s="240">
        <v>70122</v>
      </c>
      <c r="AS39" s="247" t="s">
        <v>783</v>
      </c>
      <c r="AT39" s="240" t="s">
        <v>289</v>
      </c>
      <c r="AU39" s="241" t="s">
        <v>787</v>
      </c>
      <c r="AV39" s="310" t="s">
        <v>793</v>
      </c>
      <c r="AW39" s="311" t="s">
        <v>291</v>
      </c>
      <c r="AY39" s="250" t="s">
        <v>496</v>
      </c>
      <c r="AZ39" s="250" t="s">
        <v>497</v>
      </c>
      <c r="BA39" s="626" t="s">
        <v>790</v>
      </c>
      <c r="BB39" s="626"/>
      <c r="BC39" s="444">
        <v>732</v>
      </c>
      <c r="BD39" s="445">
        <v>38908</v>
      </c>
      <c r="BE39" s="241"/>
      <c r="BK39" s="255" t="s">
        <v>1301</v>
      </c>
      <c r="BL39" s="256">
        <v>39094</v>
      </c>
      <c r="BM39" s="256">
        <v>38973</v>
      </c>
      <c r="BN39" s="256">
        <v>39009</v>
      </c>
      <c r="BO39" s="306">
        <f>18+5.07</f>
        <v>23.07</v>
      </c>
      <c r="BP39" s="124">
        <v>39979</v>
      </c>
      <c r="BQ39" s="151">
        <f t="shared" si="76"/>
        <v>2055744</v>
      </c>
      <c r="BR39" s="135">
        <f aca="true" t="shared" si="93" ref="BR39:BR48">+AC39*0.3</f>
        <v>1747382.4</v>
      </c>
      <c r="BS39" s="135">
        <f aca="true" t="shared" si="94" ref="BS39:BS48">+Z39*0.3</f>
        <v>308361.6</v>
      </c>
      <c r="BT39" s="259">
        <v>18</v>
      </c>
      <c r="BU39" s="178">
        <v>39118</v>
      </c>
      <c r="BV39" s="306"/>
      <c r="BY39" s="305" t="s">
        <v>648</v>
      </c>
      <c r="BZ39" s="256">
        <v>39163</v>
      </c>
      <c r="CA39" s="258">
        <f>1747385.4+308361.6</f>
        <v>2055747</v>
      </c>
      <c r="CB39" s="258">
        <v>1239453.16</v>
      </c>
      <c r="CD39" s="143">
        <f>+CB39</f>
        <v>1239453.16</v>
      </c>
      <c r="CE39" s="143">
        <f aca="true" t="shared" si="95" ref="CE39:CE50">+CD39*0.85</f>
        <v>1053535.186</v>
      </c>
      <c r="CF39" s="143">
        <f aca="true" t="shared" si="96" ref="CF39:CF50">+CD39*0.15</f>
        <v>185917.974</v>
      </c>
      <c r="CG39" s="246">
        <v>22</v>
      </c>
      <c r="CH39" s="256">
        <v>39469</v>
      </c>
      <c r="CI39" s="305" t="s">
        <v>799</v>
      </c>
      <c r="CJ39" s="256">
        <v>39492</v>
      </c>
      <c r="CK39" s="258">
        <f aca="true" t="shared" si="97" ref="CK39:CK50">+CD39</f>
        <v>1239453.16</v>
      </c>
      <c r="CL39" s="258">
        <f>2013635.06-78548.85</f>
        <v>1935086.21</v>
      </c>
      <c r="CM39" s="256">
        <v>39867</v>
      </c>
      <c r="CN39" s="143">
        <f>+CL39</f>
        <v>1935086.21</v>
      </c>
      <c r="CO39" s="143">
        <f>+CN39*0.85</f>
        <v>1644823.2785</v>
      </c>
      <c r="CP39" s="143">
        <f>+CN39*0.15</f>
        <v>290262.9315</v>
      </c>
      <c r="CQ39" s="240">
        <v>119</v>
      </c>
      <c r="CR39" s="256">
        <v>39888</v>
      </c>
      <c r="CS39" s="305" t="s">
        <v>195</v>
      </c>
      <c r="CT39" s="256">
        <v>39913</v>
      </c>
      <c r="CU39" s="123">
        <f>CN39</f>
        <v>1935086.21</v>
      </c>
      <c r="CV39" s="258">
        <f>78548.85+3440998.14</f>
        <v>3519546.99</v>
      </c>
      <c r="CW39" s="398" t="s">
        <v>1109</v>
      </c>
      <c r="CX39" s="258">
        <v>1279572.63</v>
      </c>
      <c r="CY39" s="143">
        <f>+CX39*0.85</f>
        <v>1087636.7355</v>
      </c>
      <c r="CZ39" s="143">
        <f>+CX39*0.15</f>
        <v>191935.89449999997</v>
      </c>
      <c r="DA39" s="277" t="s">
        <v>717</v>
      </c>
      <c r="DE39" s="258">
        <f>+CX39</f>
        <v>1279572.63</v>
      </c>
      <c r="DF39" s="258"/>
      <c r="DZ39" s="258"/>
      <c r="FC39" s="258"/>
      <c r="FD39" s="159">
        <f t="shared" si="77"/>
        <v>6509859</v>
      </c>
      <c r="FE39" s="388">
        <f t="shared" si="78"/>
        <v>4454112</v>
      </c>
      <c r="FF39" s="159">
        <f t="shared" si="79"/>
        <v>2055744</v>
      </c>
      <c r="FG39" s="147">
        <f aca="true" t="shared" si="98" ref="FG39:FG50">+V39</f>
        <v>6852480</v>
      </c>
      <c r="FH39" s="147">
        <f t="shared" si="90"/>
        <v>6694086.36</v>
      </c>
      <c r="FI39" s="145">
        <f t="shared" si="80"/>
        <v>158393.63999999966</v>
      </c>
      <c r="FJ39" s="421">
        <f t="shared" si="81"/>
        <v>0.9768852094424209</v>
      </c>
      <c r="FK39" s="135">
        <f t="shared" si="82"/>
        <v>6852480</v>
      </c>
      <c r="FL39" s="135">
        <f t="shared" si="83"/>
        <v>2055744</v>
      </c>
      <c r="FM39" s="135">
        <f t="shared" si="84"/>
        <v>4454112</v>
      </c>
      <c r="FN39" s="401">
        <f t="shared" si="85"/>
        <v>0.95</v>
      </c>
      <c r="FO39" s="135">
        <f t="shared" si="86"/>
        <v>6509856</v>
      </c>
      <c r="FP39" s="135">
        <f t="shared" si="87"/>
        <v>342624</v>
      </c>
      <c r="FQ39" s="148">
        <f t="shared" si="88"/>
        <v>0.65</v>
      </c>
      <c r="FR39" s="117">
        <f t="shared" si="89"/>
        <v>158393.63999999966</v>
      </c>
      <c r="FS39" s="258">
        <f>+FK39*0.95-FO39</f>
        <v>0</v>
      </c>
      <c r="FT39" s="258"/>
    </row>
    <row r="40" spans="2:174" ht="12.75" customHeight="1">
      <c r="B40" s="120"/>
      <c r="C40" s="307" t="s">
        <v>498</v>
      </c>
      <c r="D40" s="251" t="s">
        <v>509</v>
      </c>
      <c r="E40" s="251" t="s">
        <v>329</v>
      </c>
      <c r="F40" s="241" t="s">
        <v>1184</v>
      </c>
      <c r="G40" s="308" t="s">
        <v>285</v>
      </c>
      <c r="H40" s="266">
        <v>410000</v>
      </c>
      <c r="I40" s="243"/>
      <c r="J40" s="243"/>
      <c r="K40" s="243"/>
      <c r="L40" s="243"/>
      <c r="M40" s="135">
        <f t="shared" si="91"/>
        <v>410000</v>
      </c>
      <c r="N40" s="122">
        <f t="shared" si="67"/>
        <v>410000</v>
      </c>
      <c r="O40" s="135"/>
      <c r="P40" s="135"/>
      <c r="Q40" s="135"/>
      <c r="R40" s="135"/>
      <c r="S40" s="135"/>
      <c r="T40" s="135"/>
      <c r="U40" s="372">
        <f t="shared" si="68"/>
        <v>0</v>
      </c>
      <c r="V40" s="135">
        <f>+M40</f>
        <v>410000</v>
      </c>
      <c r="X40" s="243"/>
      <c r="Y40" s="122">
        <f>V40</f>
        <v>410000</v>
      </c>
      <c r="Z40" s="122">
        <f t="shared" si="70"/>
        <v>61500</v>
      </c>
      <c r="AA40" s="122">
        <f>+Y40*0.5</f>
        <v>205000</v>
      </c>
      <c r="AB40" s="122">
        <f>+Y40*0.35</f>
        <v>143500</v>
      </c>
      <c r="AC40" s="122">
        <f>+Y40*0.85</f>
        <v>348500</v>
      </c>
      <c r="AD40" s="122">
        <v>0</v>
      </c>
      <c r="AE40" s="122">
        <v>0</v>
      </c>
      <c r="AF40" s="244">
        <v>39804</v>
      </c>
      <c r="AG40" s="274" t="s">
        <v>628</v>
      </c>
      <c r="AH40" s="244">
        <v>39804</v>
      </c>
      <c r="AI40" s="274" t="s">
        <v>628</v>
      </c>
      <c r="AJ40" s="244">
        <v>39804</v>
      </c>
      <c r="AK40" s="249" t="s">
        <v>629</v>
      </c>
      <c r="AN40" s="251" t="s">
        <v>1184</v>
      </c>
      <c r="AO40" s="240" t="s">
        <v>15</v>
      </c>
      <c r="AP40" s="303" t="s">
        <v>288</v>
      </c>
      <c r="AQ40" s="240">
        <v>9</v>
      </c>
      <c r="AR40" s="240">
        <v>70122</v>
      </c>
      <c r="AS40" s="247" t="s">
        <v>783</v>
      </c>
      <c r="AT40" s="240" t="s">
        <v>289</v>
      </c>
      <c r="AU40" s="241" t="s">
        <v>787</v>
      </c>
      <c r="AV40" s="310" t="s">
        <v>793</v>
      </c>
      <c r="AW40" s="311" t="s">
        <v>291</v>
      </c>
      <c r="AY40" s="250" t="s">
        <v>496</v>
      </c>
      <c r="AZ40" s="250" t="s">
        <v>497</v>
      </c>
      <c r="BA40" s="626" t="s">
        <v>790</v>
      </c>
      <c r="BB40" s="626"/>
      <c r="BC40" s="444">
        <v>394</v>
      </c>
      <c r="BD40" s="445">
        <v>39727</v>
      </c>
      <c r="BE40" s="241"/>
      <c r="BF40" s="254" t="s">
        <v>630</v>
      </c>
      <c r="BG40" s="254" t="s">
        <v>631</v>
      </c>
      <c r="BL40" s="256"/>
      <c r="BM40" s="256"/>
      <c r="BN40" s="256" t="s">
        <v>632</v>
      </c>
      <c r="BO40" s="306"/>
      <c r="BP40" s="124">
        <v>39979</v>
      </c>
      <c r="BQ40" s="151"/>
      <c r="BR40" s="135"/>
      <c r="BS40" s="135"/>
      <c r="BT40" s="259"/>
      <c r="BU40" s="178"/>
      <c r="BV40" s="306"/>
      <c r="BY40" s="305"/>
      <c r="BZ40" s="256"/>
      <c r="CA40" s="258">
        <f aca="true" t="shared" si="99" ref="CA40:CA50">BQ40</f>
        <v>0</v>
      </c>
      <c r="CB40" s="258"/>
      <c r="CD40" s="143"/>
      <c r="CE40" s="143"/>
      <c r="CF40" s="143"/>
      <c r="CG40" s="246"/>
      <c r="CI40" s="305"/>
      <c r="CJ40" s="256"/>
      <c r="CK40" s="258"/>
      <c r="CQ40" s="240"/>
      <c r="CV40" s="258"/>
      <c r="CX40" s="258"/>
      <c r="DA40" s="240"/>
      <c r="DF40" s="258"/>
      <c r="DZ40" s="258"/>
      <c r="FC40" s="258"/>
      <c r="FD40" s="159">
        <f>CA40+CK40+CU40+DE40+DO40+DY40+EI40</f>
        <v>0</v>
      </c>
      <c r="FE40" s="388">
        <f t="shared" si="78"/>
        <v>0</v>
      </c>
      <c r="FF40" s="159">
        <f>Y40*0.3</f>
        <v>123000</v>
      </c>
      <c r="FG40" s="147">
        <f>+V40</f>
        <v>410000</v>
      </c>
      <c r="FH40" s="147">
        <f t="shared" si="90"/>
        <v>0</v>
      </c>
      <c r="FI40" s="145">
        <f>FG40-FH40</f>
        <v>410000</v>
      </c>
      <c r="FJ40" s="421">
        <f>FH40/FG40</f>
        <v>0</v>
      </c>
      <c r="FK40" s="135">
        <f>Y40</f>
        <v>410000</v>
      </c>
      <c r="FL40" s="135">
        <f>BQ40</f>
        <v>0</v>
      </c>
      <c r="FM40" s="135">
        <f t="shared" si="84"/>
        <v>0</v>
      </c>
      <c r="FN40" s="401">
        <f>+FO40/FK40</f>
        <v>0</v>
      </c>
      <c r="FO40" s="135">
        <f t="shared" si="86"/>
        <v>0</v>
      </c>
      <c r="FP40" s="135">
        <f>FK40-FO40</f>
        <v>410000</v>
      </c>
      <c r="FQ40" s="148">
        <f>+FM40/FK40</f>
        <v>0</v>
      </c>
      <c r="FR40" s="117">
        <f t="shared" si="89"/>
        <v>410000</v>
      </c>
    </row>
    <row r="41" spans="2:177" ht="12.75" customHeight="1">
      <c r="B41" s="120">
        <f>1+B39</f>
        <v>36</v>
      </c>
      <c r="C41" s="301" t="s">
        <v>385</v>
      </c>
      <c r="D41" s="303" t="s">
        <v>408</v>
      </c>
      <c r="E41" s="303" t="s">
        <v>408</v>
      </c>
      <c r="F41" s="241" t="s">
        <v>409</v>
      </c>
      <c r="G41" s="308" t="s">
        <v>421</v>
      </c>
      <c r="H41" s="242">
        <v>4680000</v>
      </c>
      <c r="I41" s="243"/>
      <c r="J41" s="243"/>
      <c r="K41" s="243"/>
      <c r="L41" s="243"/>
      <c r="M41" s="135">
        <f t="shared" si="91"/>
        <v>4680000</v>
      </c>
      <c r="N41" s="122">
        <f t="shared" si="67"/>
        <v>4680000</v>
      </c>
      <c r="O41" s="135"/>
      <c r="P41" s="135"/>
      <c r="Q41" s="135"/>
      <c r="R41" s="135"/>
      <c r="S41" s="135"/>
      <c r="T41" s="135"/>
      <c r="U41" s="372">
        <f t="shared" si="68"/>
        <v>4680000</v>
      </c>
      <c r="V41" s="135">
        <f>+M41</f>
        <v>4680000</v>
      </c>
      <c r="W41" s="243">
        <f>961208.25+1423467.06+1388163.61</f>
        <v>3772838.92</v>
      </c>
      <c r="X41" s="243">
        <f>+Y41+Y42</f>
        <v>6055000</v>
      </c>
      <c r="Y41" s="122">
        <f t="shared" si="69"/>
        <v>4680000</v>
      </c>
      <c r="Z41" s="122">
        <f t="shared" si="70"/>
        <v>702000</v>
      </c>
      <c r="AA41" s="122">
        <f t="shared" si="71"/>
        <v>2340000</v>
      </c>
      <c r="AB41" s="122">
        <f t="shared" si="72"/>
        <v>1638000</v>
      </c>
      <c r="AC41" s="122">
        <f t="shared" si="73"/>
        <v>3978000</v>
      </c>
      <c r="AD41" s="122">
        <f t="shared" si="74"/>
        <v>0</v>
      </c>
      <c r="AE41" s="122">
        <f t="shared" si="75"/>
        <v>0</v>
      </c>
      <c r="AG41" s="243"/>
      <c r="AH41" s="244"/>
      <c r="AN41" s="251" t="s">
        <v>409</v>
      </c>
      <c r="AO41" s="240" t="s">
        <v>15</v>
      </c>
      <c r="AP41" s="251" t="s">
        <v>795</v>
      </c>
      <c r="AR41" s="240">
        <v>70029</v>
      </c>
      <c r="AS41" s="241" t="s">
        <v>1131</v>
      </c>
      <c r="AT41" s="240" t="s">
        <v>464</v>
      </c>
      <c r="AU41" s="241" t="s">
        <v>1003</v>
      </c>
      <c r="AV41" s="304" t="s">
        <v>1004</v>
      </c>
      <c r="AW41" s="246">
        <v>82001050721</v>
      </c>
      <c r="AY41" s="250" t="s">
        <v>1087</v>
      </c>
      <c r="AZ41" s="250" t="s">
        <v>1100</v>
      </c>
      <c r="BA41" s="624" t="s">
        <v>1101</v>
      </c>
      <c r="BB41" s="626"/>
      <c r="BC41" s="444">
        <v>786</v>
      </c>
      <c r="BD41" s="445">
        <v>38923</v>
      </c>
      <c r="BE41" s="241"/>
      <c r="BK41" s="255" t="s">
        <v>1301</v>
      </c>
      <c r="BL41" s="256">
        <v>39094</v>
      </c>
      <c r="BM41" s="256">
        <v>39105</v>
      </c>
      <c r="BN41" s="256">
        <v>39066</v>
      </c>
      <c r="BO41" s="306">
        <f>18+3.52</f>
        <v>21.52</v>
      </c>
      <c r="BP41" s="124">
        <v>39762</v>
      </c>
      <c r="BQ41" s="151">
        <f t="shared" si="76"/>
        <v>1404000</v>
      </c>
      <c r="BR41" s="135">
        <f t="shared" si="93"/>
        <v>1193400</v>
      </c>
      <c r="BS41" s="135">
        <f t="shared" si="94"/>
        <v>210600</v>
      </c>
      <c r="BT41" s="259">
        <v>62</v>
      </c>
      <c r="BU41" s="178">
        <v>39157</v>
      </c>
      <c r="BV41" s="306"/>
      <c r="BY41" s="305" t="s">
        <v>735</v>
      </c>
      <c r="BZ41" s="256">
        <v>39177</v>
      </c>
      <c r="CA41" s="258">
        <f t="shared" si="99"/>
        <v>1404000</v>
      </c>
      <c r="CB41" s="258">
        <v>961208.25</v>
      </c>
      <c r="CD41" s="258">
        <v>961208.25</v>
      </c>
      <c r="CE41" s="143">
        <f t="shared" si="95"/>
        <v>817027.0125</v>
      </c>
      <c r="CF41" s="143">
        <f t="shared" si="96"/>
        <v>144181.2375</v>
      </c>
      <c r="CG41" s="246">
        <v>405</v>
      </c>
      <c r="CH41" s="256">
        <v>39728</v>
      </c>
      <c r="CI41" s="305" t="s">
        <v>1097</v>
      </c>
      <c r="CJ41" s="256">
        <v>39744</v>
      </c>
      <c r="CK41" s="258">
        <f t="shared" si="97"/>
        <v>961208.25</v>
      </c>
      <c r="CL41" s="258">
        <v>1423467.06</v>
      </c>
      <c r="CM41" s="256">
        <v>39733</v>
      </c>
      <c r="CN41" s="143">
        <f>+CL41</f>
        <v>1423467.06</v>
      </c>
      <c r="CO41" s="143">
        <f aca="true" t="shared" si="100" ref="CO41:CO46">+CN41*0.85</f>
        <v>1209947.001</v>
      </c>
      <c r="CP41" s="143">
        <f aca="true" t="shared" si="101" ref="CP41:CP46">+CN41*0.15</f>
        <v>213520.059</v>
      </c>
      <c r="CQ41" s="240">
        <v>473</v>
      </c>
      <c r="CR41" s="256">
        <v>39751</v>
      </c>
      <c r="CS41" s="255" t="s">
        <v>510</v>
      </c>
      <c r="CT41" s="256">
        <v>39770</v>
      </c>
      <c r="CU41" s="123">
        <f aca="true" t="shared" si="102" ref="CU41:CU46">CN41</f>
        <v>1423467.06</v>
      </c>
      <c r="CV41" s="258">
        <v>1388163.61</v>
      </c>
      <c r="CW41" s="256">
        <v>39756</v>
      </c>
      <c r="CX41" s="143">
        <v>657324.69</v>
      </c>
      <c r="CY41" s="143">
        <f>+CX41*0.85</f>
        <v>558725.9864999999</v>
      </c>
      <c r="CZ41" s="143">
        <f>+CX41*0.15</f>
        <v>98598.70349999999</v>
      </c>
      <c r="DA41" s="240">
        <v>537</v>
      </c>
      <c r="DB41" s="256">
        <v>39765</v>
      </c>
      <c r="DC41" s="305" t="s">
        <v>316</v>
      </c>
      <c r="DD41" s="256">
        <v>39784</v>
      </c>
      <c r="DE41" s="258">
        <f>+CX41</f>
        <v>657324.69</v>
      </c>
      <c r="DF41" s="258">
        <v>704753.61</v>
      </c>
      <c r="DG41" s="256">
        <v>39918</v>
      </c>
      <c r="DH41" s="255">
        <v>0</v>
      </c>
      <c r="DI41" s="255">
        <v>0</v>
      </c>
      <c r="DJ41" s="255">
        <v>0</v>
      </c>
      <c r="DK41" s="110"/>
      <c r="DO41" s="139">
        <f>+DH41</f>
        <v>0</v>
      </c>
      <c r="DP41" s="147">
        <v>202407.47</v>
      </c>
      <c r="DT41" s="110"/>
      <c r="DY41" s="255">
        <v>0</v>
      </c>
      <c r="DZ41" s="258"/>
      <c r="FC41" s="258"/>
      <c r="FD41" s="159">
        <f t="shared" si="77"/>
        <v>4446000</v>
      </c>
      <c r="FE41" s="388">
        <f t="shared" si="78"/>
        <v>3042000</v>
      </c>
      <c r="FF41" s="159">
        <f t="shared" si="79"/>
        <v>1404000</v>
      </c>
      <c r="FG41" s="147">
        <f>+V41</f>
        <v>4680000</v>
      </c>
      <c r="FH41" s="147">
        <f t="shared" si="90"/>
        <v>4680000</v>
      </c>
      <c r="FI41" s="145">
        <f>FG41-FH41</f>
        <v>0</v>
      </c>
      <c r="FJ41" s="586">
        <f t="shared" si="81"/>
        <v>1</v>
      </c>
      <c r="FK41" s="135">
        <f t="shared" si="82"/>
        <v>4680000</v>
      </c>
      <c r="FL41" s="135">
        <f t="shared" si="83"/>
        <v>1404000</v>
      </c>
      <c r="FM41" s="135">
        <f t="shared" si="84"/>
        <v>3042000</v>
      </c>
      <c r="FN41" s="379">
        <f t="shared" si="85"/>
        <v>0.95</v>
      </c>
      <c r="FO41" s="135">
        <f t="shared" si="86"/>
        <v>4446000</v>
      </c>
      <c r="FP41" s="135">
        <f t="shared" si="87"/>
        <v>234000</v>
      </c>
      <c r="FQ41" s="148">
        <f t="shared" si="88"/>
        <v>0.65</v>
      </c>
      <c r="FR41" s="117">
        <f t="shared" si="89"/>
        <v>0</v>
      </c>
      <c r="FT41" s="258"/>
      <c r="FU41" s="258"/>
    </row>
    <row r="42" spans="2:177" ht="12.75" customHeight="1">
      <c r="B42" s="120"/>
      <c r="C42" s="301" t="s">
        <v>385</v>
      </c>
      <c r="D42" s="303" t="s">
        <v>1364</v>
      </c>
      <c r="E42" s="303" t="s">
        <v>1364</v>
      </c>
      <c r="F42" s="241" t="s">
        <v>409</v>
      </c>
      <c r="G42" s="308" t="s">
        <v>421</v>
      </c>
      <c r="H42" s="266">
        <v>1375000</v>
      </c>
      <c r="I42" s="243"/>
      <c r="J42" s="243"/>
      <c r="K42" s="243"/>
      <c r="L42" s="243"/>
      <c r="M42" s="135">
        <f t="shared" si="91"/>
        <v>1375000</v>
      </c>
      <c r="N42" s="122">
        <f t="shared" si="67"/>
        <v>1375000</v>
      </c>
      <c r="O42" s="135"/>
      <c r="P42" s="135"/>
      <c r="Q42" s="135"/>
      <c r="R42" s="135"/>
      <c r="S42" s="135"/>
      <c r="T42" s="135"/>
      <c r="U42" s="372">
        <f>+FH42</f>
        <v>1365017</v>
      </c>
      <c r="V42" s="135">
        <f>+M42</f>
        <v>1375000</v>
      </c>
      <c r="X42" s="243"/>
      <c r="Y42" s="122">
        <f>V42</f>
        <v>1375000</v>
      </c>
      <c r="Z42" s="122">
        <f t="shared" si="70"/>
        <v>206250</v>
      </c>
      <c r="AA42" s="122">
        <f>+Y42*0.5</f>
        <v>687500</v>
      </c>
      <c r="AB42" s="122">
        <f>+Y42*0.35</f>
        <v>481249.99999999994</v>
      </c>
      <c r="AC42" s="122">
        <f>+Y42*0.85</f>
        <v>1168750</v>
      </c>
      <c r="AD42" s="122">
        <f>+H42-Y42-K42</f>
        <v>0</v>
      </c>
      <c r="AE42" s="122">
        <f>K42</f>
        <v>0</v>
      </c>
      <c r="AG42" s="243"/>
      <c r="AH42" s="244"/>
      <c r="AN42" s="251" t="s">
        <v>409</v>
      </c>
      <c r="AO42" s="240" t="s">
        <v>15</v>
      </c>
      <c r="AP42" s="251" t="s">
        <v>795</v>
      </c>
      <c r="AR42" s="240">
        <v>70029</v>
      </c>
      <c r="AS42" s="241" t="s">
        <v>1131</v>
      </c>
      <c r="AT42" s="240" t="s">
        <v>464</v>
      </c>
      <c r="AU42" s="241" t="s">
        <v>1003</v>
      </c>
      <c r="AV42" s="304" t="s">
        <v>1004</v>
      </c>
      <c r="AW42" s="246">
        <v>82001050721</v>
      </c>
      <c r="AY42" s="250" t="s">
        <v>1087</v>
      </c>
      <c r="AZ42" s="250" t="s">
        <v>1100</v>
      </c>
      <c r="BA42" s="624" t="s">
        <v>1101</v>
      </c>
      <c r="BB42" s="626"/>
      <c r="BC42" s="444">
        <v>188</v>
      </c>
      <c r="BD42" s="445">
        <v>39911</v>
      </c>
      <c r="BE42" s="241"/>
      <c r="BF42" s="254" t="s">
        <v>1054</v>
      </c>
      <c r="BG42" s="254" t="s">
        <v>1055</v>
      </c>
      <c r="BK42" s="255" t="s">
        <v>1301</v>
      </c>
      <c r="BL42" s="256">
        <v>39094</v>
      </c>
      <c r="BM42" s="256"/>
      <c r="BN42" s="256"/>
      <c r="BO42" s="306"/>
      <c r="BP42" s="112">
        <v>39979</v>
      </c>
      <c r="BQ42" s="151">
        <f>+Y42*0.3</f>
        <v>412500</v>
      </c>
      <c r="BR42" s="135">
        <f>+AC42*0.3</f>
        <v>350625</v>
      </c>
      <c r="BS42" s="135">
        <f>+Z42*0.3</f>
        <v>61875</v>
      </c>
      <c r="BT42" s="281">
        <v>225</v>
      </c>
      <c r="BU42" s="178">
        <v>39930</v>
      </c>
      <c r="BV42" s="306"/>
      <c r="BY42" s="305" t="s">
        <v>1411</v>
      </c>
      <c r="BZ42" s="256">
        <v>39945</v>
      </c>
      <c r="CA42" s="258">
        <f t="shared" si="99"/>
        <v>412500</v>
      </c>
      <c r="CB42" s="258">
        <v>192974.47</v>
      </c>
      <c r="CD42" s="258">
        <f>+CB42</f>
        <v>192974.47</v>
      </c>
      <c r="CE42" s="143">
        <f t="shared" si="95"/>
        <v>164028.2995</v>
      </c>
      <c r="CF42" s="143">
        <f>+CD42*0.15</f>
        <v>28946.1705</v>
      </c>
      <c r="CG42" s="246">
        <v>357</v>
      </c>
      <c r="CH42" s="256">
        <v>39975</v>
      </c>
      <c r="CI42" s="305" t="s">
        <v>364</v>
      </c>
      <c r="CJ42" s="256">
        <v>39980</v>
      </c>
      <c r="CK42" s="258">
        <f t="shared" si="97"/>
        <v>192974.47</v>
      </c>
      <c r="CL42" s="258">
        <v>412335</v>
      </c>
      <c r="CM42" s="256">
        <v>39972</v>
      </c>
      <c r="CN42" s="143">
        <f>+CL42</f>
        <v>412335</v>
      </c>
      <c r="CO42" s="143">
        <f t="shared" si="100"/>
        <v>350484.75</v>
      </c>
      <c r="CP42" s="143">
        <f t="shared" si="101"/>
        <v>61850.25</v>
      </c>
      <c r="CQ42" s="240">
        <v>373</v>
      </c>
      <c r="CR42" s="256">
        <v>39976</v>
      </c>
      <c r="CS42" s="305" t="s">
        <v>370</v>
      </c>
      <c r="CT42" s="256">
        <v>39986</v>
      </c>
      <c r="CU42" s="123">
        <f t="shared" si="102"/>
        <v>412335</v>
      </c>
      <c r="CV42" s="258">
        <f>962115-DP41</f>
        <v>759707.53</v>
      </c>
      <c r="CW42" s="256">
        <v>40011</v>
      </c>
      <c r="CX42" s="143">
        <v>288440.53</v>
      </c>
      <c r="CY42" s="143">
        <f>+CX42*0.85</f>
        <v>245174.4505</v>
      </c>
      <c r="CZ42" s="143">
        <f>+CX42*0.15</f>
        <v>43266.0795</v>
      </c>
      <c r="DA42" s="240">
        <v>552</v>
      </c>
      <c r="DB42" s="256">
        <v>40067</v>
      </c>
      <c r="DC42" s="305" t="s">
        <v>69</v>
      </c>
      <c r="DD42" s="256">
        <v>40081</v>
      </c>
      <c r="DE42" s="258">
        <f>+CX42</f>
        <v>288440.53</v>
      </c>
      <c r="DF42" s="258"/>
      <c r="DP42" s="258"/>
      <c r="DZ42" s="258"/>
      <c r="FB42" s="258"/>
      <c r="FD42" s="159">
        <f>CA42+CK42+CU42+DE42+DO42+DY42+EI42</f>
        <v>1306250</v>
      </c>
      <c r="FE42" s="388">
        <f t="shared" si="78"/>
        <v>893750</v>
      </c>
      <c r="FF42" s="159">
        <f>Y42*0.3</f>
        <v>412500</v>
      </c>
      <c r="FG42" s="147">
        <f>+V42</f>
        <v>1375000</v>
      </c>
      <c r="FH42" s="147">
        <f t="shared" si="90"/>
        <v>1365017</v>
      </c>
      <c r="FI42" s="145">
        <f>FG42-FH42</f>
        <v>9983</v>
      </c>
      <c r="FJ42" s="421">
        <f>FH42/FG42</f>
        <v>0.9927396363636364</v>
      </c>
      <c r="FK42" s="135">
        <f>Y42</f>
        <v>1375000</v>
      </c>
      <c r="FL42" s="135">
        <f>BQ42</f>
        <v>412500</v>
      </c>
      <c r="FM42" s="135">
        <f t="shared" si="84"/>
        <v>893750</v>
      </c>
      <c r="FN42" s="401">
        <f>+FO42/FK42</f>
        <v>0.95</v>
      </c>
      <c r="FO42" s="135">
        <f t="shared" si="86"/>
        <v>1306250</v>
      </c>
      <c r="FP42" s="135">
        <f>FK42-FO42</f>
        <v>68750</v>
      </c>
      <c r="FQ42" s="148">
        <f>+FM42/FK42</f>
        <v>0.65</v>
      </c>
      <c r="FR42" s="117">
        <f t="shared" si="89"/>
        <v>9983</v>
      </c>
      <c r="FS42" s="258">
        <f>+FK42*0.95</f>
        <v>1306250</v>
      </c>
      <c r="FT42" s="258">
        <f>+FS42-FO42</f>
        <v>0</v>
      </c>
      <c r="FU42" s="258"/>
    </row>
    <row r="43" spans="2:177" ht="12.75" customHeight="1">
      <c r="B43" s="120">
        <f>1+B41</f>
        <v>37</v>
      </c>
      <c r="C43" s="307" t="s">
        <v>328</v>
      </c>
      <c r="D43" s="303" t="s">
        <v>297</v>
      </c>
      <c r="E43" s="303" t="s">
        <v>298</v>
      </c>
      <c r="F43" s="308" t="s">
        <v>1206</v>
      </c>
      <c r="G43" s="308" t="s">
        <v>299</v>
      </c>
      <c r="H43" s="242">
        <v>4200000</v>
      </c>
      <c r="I43" s="243"/>
      <c r="J43" s="243"/>
      <c r="K43" s="243"/>
      <c r="L43" s="243"/>
      <c r="M43" s="312">
        <v>4200000</v>
      </c>
      <c r="N43" s="122">
        <f t="shared" si="67"/>
        <v>4200000</v>
      </c>
      <c r="O43" s="312"/>
      <c r="P43" s="312"/>
      <c r="Q43" s="312"/>
      <c r="R43" s="312"/>
      <c r="S43" s="312"/>
      <c r="T43" s="312"/>
      <c r="U43" s="372">
        <f t="shared" si="68"/>
        <v>4191537.89</v>
      </c>
      <c r="V43" s="135">
        <f>+M43</f>
        <v>4200000</v>
      </c>
      <c r="X43" s="243"/>
      <c r="Y43" s="122">
        <f t="shared" si="69"/>
        <v>4200000</v>
      </c>
      <c r="Z43" s="122">
        <f t="shared" si="70"/>
        <v>630000</v>
      </c>
      <c r="AA43" s="122">
        <f t="shared" si="71"/>
        <v>2100000</v>
      </c>
      <c r="AB43" s="122">
        <f t="shared" si="72"/>
        <v>1470000</v>
      </c>
      <c r="AC43" s="122">
        <f t="shared" si="73"/>
        <v>3570000</v>
      </c>
      <c r="AD43" s="122">
        <f t="shared" si="74"/>
        <v>0</v>
      </c>
      <c r="AE43" s="122">
        <f t="shared" si="75"/>
        <v>0</v>
      </c>
      <c r="AF43" s="244">
        <v>38862</v>
      </c>
      <c r="AG43" s="274" t="s">
        <v>301</v>
      </c>
      <c r="AH43" s="244">
        <v>38862</v>
      </c>
      <c r="AJ43" s="244">
        <v>38863</v>
      </c>
      <c r="AK43" s="249" t="s">
        <v>302</v>
      </c>
      <c r="AN43" s="251" t="s">
        <v>1206</v>
      </c>
      <c r="AO43" s="240" t="s">
        <v>18</v>
      </c>
      <c r="AP43" s="303" t="s">
        <v>1415</v>
      </c>
      <c r="AQ43" s="240">
        <v>32</v>
      </c>
      <c r="AR43" s="240">
        <v>74015</v>
      </c>
      <c r="AS43" s="313" t="s">
        <v>303</v>
      </c>
      <c r="AT43" s="308" t="s">
        <v>304</v>
      </c>
      <c r="AU43" s="313" t="s">
        <v>325</v>
      </c>
      <c r="AV43" s="310" t="s">
        <v>326</v>
      </c>
      <c r="AW43" s="311" t="s">
        <v>90</v>
      </c>
      <c r="AY43" s="250" t="s">
        <v>652</v>
      </c>
      <c r="AZ43" s="250" t="s">
        <v>1084</v>
      </c>
      <c r="BA43" s="624" t="s">
        <v>633</v>
      </c>
      <c r="BB43" s="626"/>
      <c r="BC43" s="444">
        <v>733</v>
      </c>
      <c r="BD43" s="445">
        <v>38908</v>
      </c>
      <c r="BE43" s="241"/>
      <c r="BK43" s="255" t="s">
        <v>1301</v>
      </c>
      <c r="BL43" s="256">
        <v>39070</v>
      </c>
      <c r="BM43" s="256">
        <v>39149</v>
      </c>
      <c r="BN43" s="256">
        <v>39146</v>
      </c>
      <c r="BO43" s="306">
        <v>18</v>
      </c>
      <c r="BP43" s="124">
        <v>39979</v>
      </c>
      <c r="BQ43" s="151">
        <f t="shared" si="76"/>
        <v>1260000</v>
      </c>
      <c r="BR43" s="135">
        <f t="shared" si="93"/>
        <v>1071000</v>
      </c>
      <c r="BS43" s="135">
        <f t="shared" si="94"/>
        <v>189000</v>
      </c>
      <c r="BT43" s="252">
        <v>119</v>
      </c>
      <c r="BU43" s="178">
        <v>39212</v>
      </c>
      <c r="BV43" s="306"/>
      <c r="BY43" s="305" t="s">
        <v>736</v>
      </c>
      <c r="BZ43" s="256">
        <v>39226</v>
      </c>
      <c r="CA43" s="258">
        <f t="shared" si="99"/>
        <v>1260000</v>
      </c>
      <c r="CB43" s="258">
        <v>695887.79</v>
      </c>
      <c r="CC43" s="265">
        <v>39716</v>
      </c>
      <c r="CD43" s="258">
        <f>+CB43</f>
        <v>695887.79</v>
      </c>
      <c r="CE43" s="143">
        <f t="shared" si="95"/>
        <v>591504.6215</v>
      </c>
      <c r="CF43" s="143">
        <f t="shared" si="96"/>
        <v>104383.1685</v>
      </c>
      <c r="CG43" s="246">
        <v>477</v>
      </c>
      <c r="CH43" s="256">
        <v>39751</v>
      </c>
      <c r="CI43" s="305" t="s">
        <v>237</v>
      </c>
      <c r="CJ43" s="256">
        <v>39765</v>
      </c>
      <c r="CK43" s="258">
        <f t="shared" si="97"/>
        <v>695887.79</v>
      </c>
      <c r="CL43" s="258">
        <v>454000</v>
      </c>
      <c r="CM43" s="256">
        <v>39749</v>
      </c>
      <c r="CN43" s="143">
        <f>+CL43</f>
        <v>454000</v>
      </c>
      <c r="CO43" s="143">
        <f t="shared" si="100"/>
        <v>385900</v>
      </c>
      <c r="CP43" s="143">
        <f t="shared" si="101"/>
        <v>68100</v>
      </c>
      <c r="CQ43" s="240">
        <v>602</v>
      </c>
      <c r="CR43" s="256">
        <v>39780</v>
      </c>
      <c r="CS43" s="305" t="s">
        <v>308</v>
      </c>
      <c r="CT43" s="256">
        <v>39825</v>
      </c>
      <c r="CU43" s="123">
        <f t="shared" si="102"/>
        <v>454000</v>
      </c>
      <c r="CV43" s="258">
        <v>1257286.37</v>
      </c>
      <c r="CW43" s="256">
        <v>39848</v>
      </c>
      <c r="CX43" s="258">
        <f>+CV43</f>
        <v>1257286.37</v>
      </c>
      <c r="CY43" s="143">
        <f>+CX43*0.85</f>
        <v>1068693.4145</v>
      </c>
      <c r="CZ43" s="143">
        <f>+CX43*0.15</f>
        <v>188592.9555</v>
      </c>
      <c r="DA43" s="240">
        <v>105</v>
      </c>
      <c r="DB43" s="256">
        <v>39883</v>
      </c>
      <c r="DC43" s="305" t="s">
        <v>382</v>
      </c>
      <c r="DD43" s="256">
        <v>39903</v>
      </c>
      <c r="DE43" s="258">
        <f>+CX43</f>
        <v>1257286.37</v>
      </c>
      <c r="DF43" s="258">
        <v>548064.46</v>
      </c>
      <c r="DG43" s="256">
        <v>39923</v>
      </c>
      <c r="DH43" s="258">
        <v>322825.84</v>
      </c>
      <c r="DI43" s="368">
        <f>+DH43*0.85</f>
        <v>274401.96400000004</v>
      </c>
      <c r="DJ43" s="368">
        <f>+DH43*0.15</f>
        <v>48423.876000000004</v>
      </c>
      <c r="DK43" s="255">
        <v>301</v>
      </c>
      <c r="DL43" s="256">
        <v>39945</v>
      </c>
      <c r="DM43" s="305" t="s">
        <v>169</v>
      </c>
      <c r="DN43" s="256">
        <v>39968</v>
      </c>
      <c r="DO43" s="139">
        <f>+DH43</f>
        <v>322825.84</v>
      </c>
      <c r="DP43" s="258">
        <v>1236299.27</v>
      </c>
      <c r="DQ43" s="256">
        <v>40067</v>
      </c>
      <c r="DR43" s="258">
        <v>0</v>
      </c>
      <c r="DS43" s="368">
        <f>+DR43*0.85</f>
        <v>0</v>
      </c>
      <c r="DT43" s="368">
        <f>+DR43*0.15</f>
        <v>0</v>
      </c>
      <c r="DW43" s="306"/>
      <c r="DY43" s="258">
        <f>+DR43</f>
        <v>0</v>
      </c>
      <c r="DZ43" s="258"/>
      <c r="FC43" s="258"/>
      <c r="FD43" s="159">
        <f t="shared" si="77"/>
        <v>3990000</v>
      </c>
      <c r="FE43" s="388">
        <f t="shared" si="78"/>
        <v>2730000</v>
      </c>
      <c r="FF43" s="159">
        <f t="shared" si="79"/>
        <v>1260000</v>
      </c>
      <c r="FG43" s="147">
        <f t="shared" si="98"/>
        <v>4200000</v>
      </c>
      <c r="FH43" s="147">
        <f t="shared" si="90"/>
        <v>4191537.89</v>
      </c>
      <c r="FI43" s="145">
        <f t="shared" si="80"/>
        <v>8462.10999999987</v>
      </c>
      <c r="FJ43" s="421">
        <f t="shared" si="81"/>
        <v>0.997985211904762</v>
      </c>
      <c r="FK43" s="135">
        <f t="shared" si="82"/>
        <v>4200000</v>
      </c>
      <c r="FL43" s="135">
        <f t="shared" si="83"/>
        <v>1260000</v>
      </c>
      <c r="FM43" s="135">
        <f t="shared" si="84"/>
        <v>2730000</v>
      </c>
      <c r="FN43" s="379">
        <f t="shared" si="85"/>
        <v>0.95</v>
      </c>
      <c r="FO43" s="135">
        <f t="shared" si="86"/>
        <v>3990000</v>
      </c>
      <c r="FP43" s="135">
        <f t="shared" si="87"/>
        <v>210000</v>
      </c>
      <c r="FQ43" s="148">
        <f t="shared" si="88"/>
        <v>0.65</v>
      </c>
      <c r="FR43" s="117">
        <f t="shared" si="89"/>
        <v>8462.10999999987</v>
      </c>
      <c r="FT43" s="255">
        <f>+FK43*0.95</f>
        <v>3990000</v>
      </c>
      <c r="FU43" s="258">
        <f>+FT43-FO43</f>
        <v>0</v>
      </c>
    </row>
    <row r="44" spans="2:176" ht="12.75" customHeight="1">
      <c r="B44" s="120">
        <f t="shared" si="92"/>
        <v>38</v>
      </c>
      <c r="C44" s="301" t="s">
        <v>376</v>
      </c>
      <c r="D44" s="251" t="s">
        <v>1002</v>
      </c>
      <c r="E44" s="251" t="s">
        <v>383</v>
      </c>
      <c r="F44" s="241" t="s">
        <v>653</v>
      </c>
      <c r="G44" s="241" t="s">
        <v>431</v>
      </c>
      <c r="H44" s="242">
        <v>3105340</v>
      </c>
      <c r="I44" s="243"/>
      <c r="J44" s="243"/>
      <c r="K44" s="243"/>
      <c r="L44" s="243"/>
      <c r="M44" s="135">
        <f aca="true" t="shared" si="103" ref="M44:M50">+H44-K44</f>
        <v>3105340</v>
      </c>
      <c r="N44" s="122">
        <f t="shared" si="67"/>
        <v>3105340</v>
      </c>
      <c r="O44" s="135"/>
      <c r="P44" s="135"/>
      <c r="Q44" s="135"/>
      <c r="R44" s="135"/>
      <c r="S44" s="135"/>
      <c r="T44" s="135"/>
      <c r="U44" s="372">
        <f t="shared" si="68"/>
        <v>3105179.12</v>
      </c>
      <c r="V44" s="243">
        <f>H44-K44-L44</f>
        <v>3105340</v>
      </c>
      <c r="X44" s="243"/>
      <c r="Y44" s="242">
        <v>3105340</v>
      </c>
      <c r="Z44" s="122">
        <f t="shared" si="70"/>
        <v>465801</v>
      </c>
      <c r="AA44" s="122">
        <f t="shared" si="71"/>
        <v>1552670</v>
      </c>
      <c r="AB44" s="122">
        <f t="shared" si="72"/>
        <v>1086869</v>
      </c>
      <c r="AC44" s="122">
        <f t="shared" si="73"/>
        <v>2639539</v>
      </c>
      <c r="AD44" s="122">
        <f t="shared" si="74"/>
        <v>0</v>
      </c>
      <c r="AE44" s="122">
        <f t="shared" si="75"/>
        <v>0</v>
      </c>
      <c r="AF44" s="244">
        <v>38898</v>
      </c>
      <c r="AG44" s="274" t="s">
        <v>432</v>
      </c>
      <c r="AH44" s="244">
        <v>38898</v>
      </c>
      <c r="AJ44" s="244">
        <v>38898</v>
      </c>
      <c r="AK44" s="249" t="s">
        <v>433</v>
      </c>
      <c r="AN44" s="251" t="s">
        <v>1230</v>
      </c>
      <c r="AO44" s="240" t="s">
        <v>18</v>
      </c>
      <c r="AP44" s="251" t="s">
        <v>749</v>
      </c>
      <c r="AQ44" s="240">
        <v>4</v>
      </c>
      <c r="AR44" s="240">
        <v>74100</v>
      </c>
      <c r="AS44" s="241" t="s">
        <v>750</v>
      </c>
      <c r="AT44" s="240" t="s">
        <v>751</v>
      </c>
      <c r="AU44" s="241" t="s">
        <v>384</v>
      </c>
      <c r="AV44" s="304" t="s">
        <v>752</v>
      </c>
      <c r="AW44" s="246">
        <v>80004930733</v>
      </c>
      <c r="AY44" s="250" t="s">
        <v>654</v>
      </c>
      <c r="BA44" s="624" t="s">
        <v>127</v>
      </c>
      <c r="BB44" s="626"/>
      <c r="BC44" s="444">
        <v>902</v>
      </c>
      <c r="BD44" s="445">
        <v>38930</v>
      </c>
      <c r="BE44" s="241"/>
      <c r="BK44" s="255" t="s">
        <v>1301</v>
      </c>
      <c r="BL44" s="256">
        <v>39127</v>
      </c>
      <c r="BM44" s="256">
        <v>39162</v>
      </c>
      <c r="BN44" s="256">
        <v>39140</v>
      </c>
      <c r="BO44" s="306">
        <f>18+2.1</f>
        <v>20.1</v>
      </c>
      <c r="BP44" s="124">
        <v>39979</v>
      </c>
      <c r="BQ44" s="151">
        <f t="shared" si="76"/>
        <v>931602</v>
      </c>
      <c r="BR44" s="135">
        <f t="shared" si="93"/>
        <v>791861.7</v>
      </c>
      <c r="BS44" s="135">
        <f t="shared" si="94"/>
        <v>139740.3</v>
      </c>
      <c r="BT44" s="259">
        <v>120</v>
      </c>
      <c r="BU44" s="178">
        <v>39212</v>
      </c>
      <c r="BV44" s="306"/>
      <c r="BY44" s="305" t="s">
        <v>738</v>
      </c>
      <c r="BZ44" s="256">
        <v>39226</v>
      </c>
      <c r="CA44" s="258">
        <f t="shared" si="99"/>
        <v>931602</v>
      </c>
      <c r="CB44" s="122">
        <v>98911.33</v>
      </c>
      <c r="CC44" s="124">
        <v>39759</v>
      </c>
      <c r="CD44" s="327">
        <f>+CB44*0.8</f>
        <v>79129.06400000001</v>
      </c>
      <c r="CE44" s="327">
        <f t="shared" si="95"/>
        <v>67259.7044</v>
      </c>
      <c r="CF44" s="327">
        <f t="shared" si="96"/>
        <v>11869.359600000002</v>
      </c>
      <c r="CG44" s="125">
        <v>583</v>
      </c>
      <c r="CH44" s="256">
        <v>39776</v>
      </c>
      <c r="CI44" s="305" t="s">
        <v>323</v>
      </c>
      <c r="CJ44" s="256">
        <v>39786</v>
      </c>
      <c r="CK44" s="258">
        <f t="shared" si="97"/>
        <v>79129.06400000001</v>
      </c>
      <c r="CL44" s="258">
        <f>960410.8+(CB44-CD44)</f>
        <v>980193.066</v>
      </c>
      <c r="CM44" s="256">
        <v>39931</v>
      </c>
      <c r="CN44" s="143">
        <f>+CL44</f>
        <v>980193.066</v>
      </c>
      <c r="CO44" s="143">
        <f t="shared" si="100"/>
        <v>833164.1061</v>
      </c>
      <c r="CP44" s="143">
        <f t="shared" si="101"/>
        <v>147028.9599</v>
      </c>
      <c r="CQ44" s="240">
        <v>302</v>
      </c>
      <c r="CR44" s="256">
        <v>39945</v>
      </c>
      <c r="CS44" s="305" t="s">
        <v>365</v>
      </c>
      <c r="CT44" s="256">
        <v>39980</v>
      </c>
      <c r="CU44" s="123">
        <f t="shared" si="102"/>
        <v>980193.066</v>
      </c>
      <c r="CV44" s="258">
        <v>2026074.7240000002</v>
      </c>
      <c r="CW44" s="335">
        <v>39994</v>
      </c>
      <c r="CX44" s="258">
        <v>959148.87</v>
      </c>
      <c r="CY44" s="143">
        <f>+CX44*0.85</f>
        <v>815276.5395</v>
      </c>
      <c r="CZ44" s="143">
        <f>+CX44*0.15</f>
        <v>143872.33049999998</v>
      </c>
      <c r="DA44" s="240">
        <v>556</v>
      </c>
      <c r="DB44" s="256">
        <v>40067</v>
      </c>
      <c r="DC44" s="305" t="s">
        <v>68</v>
      </c>
      <c r="DD44" s="256">
        <v>40081</v>
      </c>
      <c r="DE44" s="258">
        <f>+CX44</f>
        <v>959148.87</v>
      </c>
      <c r="DF44" s="258"/>
      <c r="DP44" s="258"/>
      <c r="DZ44" s="258"/>
      <c r="FC44" s="258"/>
      <c r="FD44" s="159">
        <f t="shared" si="77"/>
        <v>2950073</v>
      </c>
      <c r="FE44" s="388">
        <f t="shared" si="78"/>
        <v>2018471</v>
      </c>
      <c r="FF44" s="159">
        <f t="shared" si="79"/>
        <v>931602</v>
      </c>
      <c r="FG44" s="147">
        <f t="shared" si="98"/>
        <v>3105340</v>
      </c>
      <c r="FH44" s="147">
        <f t="shared" si="90"/>
        <v>3105179.12</v>
      </c>
      <c r="FI44" s="145">
        <f t="shared" si="80"/>
        <v>160.87999999988824</v>
      </c>
      <c r="FJ44" s="586">
        <f t="shared" si="81"/>
        <v>0.9999481924684576</v>
      </c>
      <c r="FK44" s="135">
        <f t="shared" si="82"/>
        <v>3105340</v>
      </c>
      <c r="FL44" s="135">
        <f t="shared" si="83"/>
        <v>931602</v>
      </c>
      <c r="FM44" s="135">
        <f t="shared" si="84"/>
        <v>2018471</v>
      </c>
      <c r="FN44" s="401">
        <f t="shared" si="85"/>
        <v>0.95</v>
      </c>
      <c r="FO44" s="135">
        <f t="shared" si="86"/>
        <v>2950073</v>
      </c>
      <c r="FP44" s="135">
        <f t="shared" si="87"/>
        <v>155267</v>
      </c>
      <c r="FQ44" s="148">
        <f t="shared" si="88"/>
        <v>0.65</v>
      </c>
      <c r="FR44" s="117">
        <f t="shared" si="89"/>
        <v>160.87999999988824</v>
      </c>
      <c r="FS44" s="258">
        <f>+FG44*0.95</f>
        <v>2950073</v>
      </c>
      <c r="FT44" s="258">
        <f>+FS44-FO44</f>
        <v>0</v>
      </c>
    </row>
    <row r="45" spans="2:174" ht="12.75" customHeight="1">
      <c r="B45" s="120">
        <f t="shared" si="92"/>
        <v>39</v>
      </c>
      <c r="C45" s="301" t="s">
        <v>388</v>
      </c>
      <c r="D45" s="303" t="s">
        <v>434</v>
      </c>
      <c r="E45" s="303" t="s">
        <v>434</v>
      </c>
      <c r="F45" s="241" t="s">
        <v>356</v>
      </c>
      <c r="G45" s="241" t="s">
        <v>447</v>
      </c>
      <c r="H45" s="314">
        <v>2766400</v>
      </c>
      <c r="I45" s="243"/>
      <c r="J45" s="243"/>
      <c r="K45" s="243"/>
      <c r="L45" s="243"/>
      <c r="M45" s="135">
        <f t="shared" si="103"/>
        <v>2766400</v>
      </c>
      <c r="N45" s="122">
        <f t="shared" si="67"/>
        <v>2766400</v>
      </c>
      <c r="O45" s="135"/>
      <c r="P45" s="135"/>
      <c r="Q45" s="135"/>
      <c r="R45" s="135"/>
      <c r="S45" s="135"/>
      <c r="T45" s="135"/>
      <c r="U45" s="372">
        <f t="shared" si="68"/>
        <v>2427961.8299999996</v>
      </c>
      <c r="V45" s="315">
        <v>2686400</v>
      </c>
      <c r="X45" s="243"/>
      <c r="Y45" s="242">
        <v>2686400</v>
      </c>
      <c r="Z45" s="122">
        <f t="shared" si="70"/>
        <v>402960</v>
      </c>
      <c r="AA45" s="122">
        <f t="shared" si="71"/>
        <v>1343200</v>
      </c>
      <c r="AB45" s="122">
        <f t="shared" si="72"/>
        <v>940239.9999999999</v>
      </c>
      <c r="AC45" s="122">
        <f t="shared" si="73"/>
        <v>2283440</v>
      </c>
      <c r="AD45" s="122">
        <f t="shared" si="74"/>
        <v>80000</v>
      </c>
      <c r="AE45" s="122">
        <f t="shared" si="75"/>
        <v>0</v>
      </c>
      <c r="AF45" s="244">
        <v>38926</v>
      </c>
      <c r="AG45" s="243"/>
      <c r="AH45" s="244">
        <v>38926</v>
      </c>
      <c r="AJ45" s="244">
        <v>38926</v>
      </c>
      <c r="AK45" s="249" t="s">
        <v>433</v>
      </c>
      <c r="AN45" s="251" t="s">
        <v>1200</v>
      </c>
      <c r="AO45" s="240" t="s">
        <v>14</v>
      </c>
      <c r="AP45" s="485" t="s">
        <v>435</v>
      </c>
      <c r="AQ45" s="240">
        <v>3</v>
      </c>
      <c r="AR45" s="240">
        <v>72100</v>
      </c>
      <c r="AS45" s="241" t="s">
        <v>390</v>
      </c>
      <c r="AT45" s="248" t="s">
        <v>519</v>
      </c>
      <c r="AU45" s="241" t="s">
        <v>389</v>
      </c>
      <c r="AV45" s="304" t="s">
        <v>391</v>
      </c>
      <c r="AW45" s="249" t="s">
        <v>448</v>
      </c>
      <c r="AY45" s="250" t="s">
        <v>241</v>
      </c>
      <c r="AZ45" s="250" t="s">
        <v>242</v>
      </c>
      <c r="BA45" s="624" t="s">
        <v>228</v>
      </c>
      <c r="BB45" s="626"/>
      <c r="BC45" s="444">
        <v>903</v>
      </c>
      <c r="BD45" s="445">
        <v>38930</v>
      </c>
      <c r="BE45" s="241"/>
      <c r="BK45" s="255" t="s">
        <v>1301</v>
      </c>
      <c r="BL45" s="256">
        <v>39094</v>
      </c>
      <c r="BM45" s="256">
        <v>39171</v>
      </c>
      <c r="BN45" s="256">
        <v>39083</v>
      </c>
      <c r="BO45" s="306">
        <f>18+3</f>
        <v>21</v>
      </c>
      <c r="BP45" s="124">
        <v>39762</v>
      </c>
      <c r="BQ45" s="151">
        <f t="shared" si="76"/>
        <v>805920</v>
      </c>
      <c r="BR45" s="135">
        <f t="shared" si="93"/>
        <v>685032</v>
      </c>
      <c r="BS45" s="135">
        <f t="shared" si="94"/>
        <v>120888</v>
      </c>
      <c r="BT45" s="252">
        <v>121</v>
      </c>
      <c r="BU45" s="178">
        <v>39212</v>
      </c>
      <c r="BV45" s="306"/>
      <c r="BY45" s="305" t="s">
        <v>739</v>
      </c>
      <c r="BZ45" s="256">
        <v>39226</v>
      </c>
      <c r="CA45" s="258">
        <f t="shared" si="99"/>
        <v>805920</v>
      </c>
      <c r="CB45" s="258">
        <v>1004965.94</v>
      </c>
      <c r="CC45" s="265">
        <v>39755</v>
      </c>
      <c r="CD45" s="258">
        <f>+CB45</f>
        <v>1004965.94</v>
      </c>
      <c r="CE45" s="143">
        <f t="shared" si="95"/>
        <v>854221.0489999999</v>
      </c>
      <c r="CF45" s="143">
        <f t="shared" si="96"/>
        <v>150744.89099999997</v>
      </c>
      <c r="CG45" s="125">
        <v>582</v>
      </c>
      <c r="CH45" s="256">
        <v>39776</v>
      </c>
      <c r="CI45" s="305" t="s">
        <v>321</v>
      </c>
      <c r="CJ45" s="256">
        <v>39785</v>
      </c>
      <c r="CK45" s="258">
        <f t="shared" si="97"/>
        <v>1004965.94</v>
      </c>
      <c r="CL45" s="258">
        <v>743268.11</v>
      </c>
      <c r="CN45" s="143">
        <f>+CL45</f>
        <v>743268.11</v>
      </c>
      <c r="CO45" s="143">
        <f t="shared" si="100"/>
        <v>631777.8935</v>
      </c>
      <c r="CP45" s="143">
        <f t="shared" si="101"/>
        <v>111490.2165</v>
      </c>
      <c r="CQ45" s="125">
        <v>581</v>
      </c>
      <c r="CR45" s="256">
        <v>39776</v>
      </c>
      <c r="CS45" s="305" t="s">
        <v>320</v>
      </c>
      <c r="CT45" s="256">
        <v>39785</v>
      </c>
      <c r="CU45" s="123">
        <f t="shared" si="102"/>
        <v>743268.11</v>
      </c>
      <c r="CV45" s="258">
        <f>541597.89-1750.49</f>
        <v>539847.4</v>
      </c>
      <c r="CX45" s="258">
        <v>0</v>
      </c>
      <c r="CZ45" s="110"/>
      <c r="DA45" s="240"/>
      <c r="DE45" s="255">
        <v>0</v>
      </c>
      <c r="DF45" s="258">
        <v>139880.38</v>
      </c>
      <c r="DG45" s="336"/>
      <c r="DH45" s="255">
        <v>0</v>
      </c>
      <c r="DK45" s="110"/>
      <c r="DO45" s="255">
        <v>0</v>
      </c>
      <c r="DP45" s="258"/>
      <c r="DZ45" s="258"/>
      <c r="FD45" s="159">
        <f t="shared" si="77"/>
        <v>2554154.05</v>
      </c>
      <c r="FE45" s="388">
        <f t="shared" si="78"/>
        <v>1748234.0499999998</v>
      </c>
      <c r="FF45" s="159">
        <f t="shared" si="79"/>
        <v>805920</v>
      </c>
      <c r="FG45" s="147">
        <f t="shared" si="98"/>
        <v>2686400</v>
      </c>
      <c r="FH45" s="147">
        <f t="shared" si="90"/>
        <v>2427961.8299999996</v>
      </c>
      <c r="FI45" s="145">
        <f t="shared" si="80"/>
        <v>258438.1700000004</v>
      </c>
      <c r="FJ45" s="421">
        <f t="shared" si="81"/>
        <v>0.9037975841274567</v>
      </c>
      <c r="FK45" s="135">
        <f t="shared" si="82"/>
        <v>2686400</v>
      </c>
      <c r="FL45" s="135">
        <f t="shared" si="83"/>
        <v>805920</v>
      </c>
      <c r="FM45" s="135">
        <f t="shared" si="84"/>
        <v>1748234.0499999998</v>
      </c>
      <c r="FN45" s="379">
        <f t="shared" si="85"/>
        <v>0.9507720555390112</v>
      </c>
      <c r="FO45" s="135">
        <f t="shared" si="86"/>
        <v>2554154.05</v>
      </c>
      <c r="FP45" s="135">
        <f t="shared" si="87"/>
        <v>132245.9500000002</v>
      </c>
      <c r="FQ45" s="148">
        <f t="shared" si="88"/>
        <v>0.6507720555390113</v>
      </c>
      <c r="FR45" s="117">
        <f t="shared" si="89"/>
        <v>258438.1700000004</v>
      </c>
    </row>
    <row r="46" spans="2:177" ht="12.75" customHeight="1">
      <c r="B46" s="120">
        <f t="shared" si="92"/>
        <v>40</v>
      </c>
      <c r="C46" s="301" t="s">
        <v>355</v>
      </c>
      <c r="D46" s="251" t="s">
        <v>345</v>
      </c>
      <c r="E46" s="251" t="s">
        <v>345</v>
      </c>
      <c r="F46" s="241" t="s">
        <v>356</v>
      </c>
      <c r="G46" s="241" t="s">
        <v>372</v>
      </c>
      <c r="H46" s="242">
        <v>4502400</v>
      </c>
      <c r="I46" s="243"/>
      <c r="J46" s="243"/>
      <c r="K46" s="243"/>
      <c r="L46" s="243"/>
      <c r="M46" s="135">
        <f t="shared" si="103"/>
        <v>4502400</v>
      </c>
      <c r="N46" s="122">
        <f t="shared" si="67"/>
        <v>4502400</v>
      </c>
      <c r="O46" s="135"/>
      <c r="P46" s="135"/>
      <c r="Q46" s="135"/>
      <c r="R46" s="135"/>
      <c r="S46" s="135"/>
      <c r="T46" s="135"/>
      <c r="U46" s="372">
        <f t="shared" si="68"/>
        <v>4502128.800000001</v>
      </c>
      <c r="V46" s="135">
        <f>+M46</f>
        <v>4502400</v>
      </c>
      <c r="X46" s="243"/>
      <c r="Y46" s="122">
        <f>V46</f>
        <v>4502400</v>
      </c>
      <c r="Z46" s="122">
        <f t="shared" si="70"/>
        <v>675360</v>
      </c>
      <c r="AA46" s="122">
        <f t="shared" si="71"/>
        <v>2251200</v>
      </c>
      <c r="AB46" s="122">
        <f t="shared" si="72"/>
        <v>1575840</v>
      </c>
      <c r="AC46" s="122">
        <f t="shared" si="73"/>
        <v>3827040</v>
      </c>
      <c r="AD46" s="122">
        <f t="shared" si="74"/>
        <v>0</v>
      </c>
      <c r="AE46" s="122">
        <f t="shared" si="75"/>
        <v>0</v>
      </c>
      <c r="AF46" s="244">
        <v>38811</v>
      </c>
      <c r="AG46" s="274" t="s">
        <v>373</v>
      </c>
      <c r="AH46" s="244">
        <v>38811</v>
      </c>
      <c r="AK46" s="246">
        <v>4131</v>
      </c>
      <c r="AN46" s="251" t="s">
        <v>1222</v>
      </c>
      <c r="AO46" s="240" t="s">
        <v>1275</v>
      </c>
      <c r="AP46" s="251" t="s">
        <v>374</v>
      </c>
      <c r="AQ46" s="240" t="s">
        <v>1337</v>
      </c>
      <c r="AR46" s="240">
        <v>73100</v>
      </c>
      <c r="AS46" s="241" t="s">
        <v>674</v>
      </c>
      <c r="AT46" s="248" t="s">
        <v>394</v>
      </c>
      <c r="AU46" s="241" t="s">
        <v>375</v>
      </c>
      <c r="AV46" s="417" t="s">
        <v>357</v>
      </c>
      <c r="AW46" s="246">
        <v>80008510754</v>
      </c>
      <c r="AY46" s="250" t="s">
        <v>647</v>
      </c>
      <c r="BA46" s="624" t="s">
        <v>16</v>
      </c>
      <c r="BB46" s="624"/>
      <c r="BC46" s="447">
        <v>774</v>
      </c>
      <c r="BD46" s="445">
        <v>38919</v>
      </c>
      <c r="BE46" s="241"/>
      <c r="BK46" s="255" t="s">
        <v>1301</v>
      </c>
      <c r="BL46" s="256">
        <v>39094</v>
      </c>
      <c r="BM46" s="256">
        <v>39114</v>
      </c>
      <c r="BN46" s="256">
        <v>38939</v>
      </c>
      <c r="BO46" s="306">
        <f>18+8.75</f>
        <v>26.75</v>
      </c>
      <c r="BP46" s="124">
        <f>BN46+(BO46*365/12)</f>
        <v>39752.645833333336</v>
      </c>
      <c r="BQ46" s="151">
        <f t="shared" si="76"/>
        <v>1350720</v>
      </c>
      <c r="BR46" s="135">
        <f t="shared" si="93"/>
        <v>1148112</v>
      </c>
      <c r="BS46" s="135">
        <f t="shared" si="94"/>
        <v>202608</v>
      </c>
      <c r="BT46" s="259">
        <v>61</v>
      </c>
      <c r="BU46" s="178">
        <v>39157</v>
      </c>
      <c r="BV46" s="306"/>
      <c r="BY46" s="305" t="s">
        <v>740</v>
      </c>
      <c r="BZ46" s="256">
        <v>39177</v>
      </c>
      <c r="CA46" s="258">
        <f t="shared" si="99"/>
        <v>1350720</v>
      </c>
      <c r="CB46" s="266">
        <v>2559551.43</v>
      </c>
      <c r="CC46" s="265">
        <v>39749</v>
      </c>
      <c r="CD46" s="143">
        <f>+CB46</f>
        <v>2559551.43</v>
      </c>
      <c r="CE46" s="143">
        <f t="shared" si="95"/>
        <v>2175618.7155</v>
      </c>
      <c r="CF46" s="143">
        <f t="shared" si="96"/>
        <v>383932.7145</v>
      </c>
      <c r="CG46" s="246">
        <v>534</v>
      </c>
      <c r="CH46" s="256">
        <v>39765</v>
      </c>
      <c r="CI46" s="305" t="s">
        <v>314</v>
      </c>
      <c r="CJ46" s="256">
        <v>39783</v>
      </c>
      <c r="CK46" s="258">
        <f t="shared" si="97"/>
        <v>2559551.43</v>
      </c>
      <c r="CL46" s="258">
        <v>773146.27</v>
      </c>
      <c r="CN46" s="143">
        <v>367008.57</v>
      </c>
      <c r="CO46" s="143">
        <f t="shared" si="100"/>
        <v>311957.2845</v>
      </c>
      <c r="CP46" s="143">
        <f t="shared" si="101"/>
        <v>55051.2855</v>
      </c>
      <c r="CQ46" s="240">
        <v>623</v>
      </c>
      <c r="CR46" s="256">
        <v>39791</v>
      </c>
      <c r="CS46" s="305" t="s">
        <v>311</v>
      </c>
      <c r="CT46" s="256">
        <v>39826</v>
      </c>
      <c r="CU46" s="123">
        <f t="shared" si="102"/>
        <v>367008.57</v>
      </c>
      <c r="CV46" s="258">
        <v>28207.5</v>
      </c>
      <c r="CW46" s="256">
        <v>39799</v>
      </c>
      <c r="CX46" s="258">
        <v>0</v>
      </c>
      <c r="CY46" s="255" t="s">
        <v>419</v>
      </c>
      <c r="CZ46" s="110"/>
      <c r="DA46" s="240"/>
      <c r="DE46" s="258">
        <f>+CX46</f>
        <v>0</v>
      </c>
      <c r="DF46" s="258">
        <v>1141223.6</v>
      </c>
      <c r="DG46" s="256">
        <v>39912</v>
      </c>
      <c r="DH46" s="258">
        <v>0</v>
      </c>
      <c r="DI46" s="255">
        <v>0</v>
      </c>
      <c r="DK46" s="110"/>
      <c r="DP46" s="258"/>
      <c r="DZ46" s="258"/>
      <c r="FB46" s="258"/>
      <c r="FC46" s="258"/>
      <c r="FD46" s="159">
        <f t="shared" si="77"/>
        <v>4277280</v>
      </c>
      <c r="FE46" s="388">
        <f t="shared" si="78"/>
        <v>2926560</v>
      </c>
      <c r="FF46" s="159">
        <f t="shared" si="79"/>
        <v>1350720</v>
      </c>
      <c r="FG46" s="147">
        <f t="shared" si="98"/>
        <v>4502400</v>
      </c>
      <c r="FH46" s="147">
        <f t="shared" si="90"/>
        <v>4502128.800000001</v>
      </c>
      <c r="FI46" s="145">
        <f t="shared" si="80"/>
        <v>271.19999999925494</v>
      </c>
      <c r="FJ46" s="586">
        <f t="shared" si="81"/>
        <v>0.9999397654584223</v>
      </c>
      <c r="FK46" s="135">
        <f t="shared" si="82"/>
        <v>4502400</v>
      </c>
      <c r="FL46" s="135">
        <f t="shared" si="83"/>
        <v>1350720</v>
      </c>
      <c r="FM46" s="135">
        <f t="shared" si="84"/>
        <v>2926560</v>
      </c>
      <c r="FN46" s="379">
        <f t="shared" si="85"/>
        <v>0.95</v>
      </c>
      <c r="FO46" s="135">
        <f t="shared" si="86"/>
        <v>4277280</v>
      </c>
      <c r="FP46" s="135">
        <f t="shared" si="87"/>
        <v>225120</v>
      </c>
      <c r="FQ46" s="148">
        <f t="shared" si="88"/>
        <v>0.65</v>
      </c>
      <c r="FR46" s="117">
        <f t="shared" si="89"/>
        <v>271.19999999925494</v>
      </c>
      <c r="FS46" s="258"/>
      <c r="FU46" s="258"/>
    </row>
    <row r="47" spans="2:177" ht="12.75" customHeight="1">
      <c r="B47" s="120"/>
      <c r="C47" s="301" t="s">
        <v>355</v>
      </c>
      <c r="D47" s="251" t="s">
        <v>1365</v>
      </c>
      <c r="E47" s="251" t="s">
        <v>1365</v>
      </c>
      <c r="F47" s="241" t="s">
        <v>356</v>
      </c>
      <c r="G47" s="241" t="s">
        <v>372</v>
      </c>
      <c r="H47" s="242">
        <v>1320000</v>
      </c>
      <c r="I47" s="243"/>
      <c r="J47" s="243"/>
      <c r="K47" s="243"/>
      <c r="L47" s="243"/>
      <c r="M47" s="135">
        <f t="shared" si="103"/>
        <v>1320000</v>
      </c>
      <c r="N47" s="122">
        <f t="shared" si="67"/>
        <v>1320000</v>
      </c>
      <c r="O47" s="135"/>
      <c r="P47" s="135"/>
      <c r="Q47" s="135"/>
      <c r="R47" s="135"/>
      <c r="S47" s="135"/>
      <c r="T47" s="135"/>
      <c r="U47" s="372">
        <f t="shared" si="68"/>
        <v>1320000</v>
      </c>
      <c r="V47" s="135">
        <f>+M47</f>
        <v>1320000</v>
      </c>
      <c r="X47" s="243"/>
      <c r="Y47" s="122">
        <f>V47</f>
        <v>1320000</v>
      </c>
      <c r="Z47" s="122">
        <f t="shared" si="70"/>
        <v>198000</v>
      </c>
      <c r="AA47" s="122">
        <f>+Y47*0.5</f>
        <v>660000</v>
      </c>
      <c r="AB47" s="122">
        <f>+Y47*0.35</f>
        <v>461999.99999999994</v>
      </c>
      <c r="AC47" s="122">
        <f>+Y47*0.85</f>
        <v>1122000</v>
      </c>
      <c r="AD47" s="122">
        <f>+H47-Y47-K47</f>
        <v>0</v>
      </c>
      <c r="AE47" s="122">
        <f>K47</f>
        <v>0</v>
      </c>
      <c r="AG47" s="274"/>
      <c r="AH47" s="244"/>
      <c r="AN47" s="251" t="s">
        <v>1222</v>
      </c>
      <c r="AO47" s="240" t="s">
        <v>1275</v>
      </c>
      <c r="AP47" s="251" t="s">
        <v>374</v>
      </c>
      <c r="AQ47" s="240" t="s">
        <v>1337</v>
      </c>
      <c r="AR47" s="240">
        <v>73100</v>
      </c>
      <c r="AS47" s="241" t="s">
        <v>358</v>
      </c>
      <c r="AT47" s="248" t="s">
        <v>394</v>
      </c>
      <c r="AU47" s="241" t="s">
        <v>375</v>
      </c>
      <c r="AV47" s="417" t="s">
        <v>357</v>
      </c>
      <c r="AW47" s="246">
        <v>80008510754</v>
      </c>
      <c r="AY47" s="250" t="s">
        <v>647</v>
      </c>
      <c r="BA47" s="624" t="s">
        <v>16</v>
      </c>
      <c r="BB47" s="624"/>
      <c r="BC47" s="447" t="s">
        <v>461</v>
      </c>
      <c r="BD47" s="445">
        <v>39911</v>
      </c>
      <c r="BE47" s="277" t="s">
        <v>645</v>
      </c>
      <c r="BK47" s="255" t="s">
        <v>1301</v>
      </c>
      <c r="BL47" s="256">
        <v>39094</v>
      </c>
      <c r="BM47" s="256"/>
      <c r="BN47" s="256"/>
      <c r="BO47" s="306"/>
      <c r="BP47" s="112">
        <v>39979</v>
      </c>
      <c r="BQ47" s="151">
        <f t="shared" si="76"/>
        <v>396000</v>
      </c>
      <c r="BR47" s="135">
        <f>+AC47*0.3</f>
        <v>336600</v>
      </c>
      <c r="BS47" s="135">
        <f>+Z47*0.3</f>
        <v>59400</v>
      </c>
      <c r="BT47" s="281">
        <v>259</v>
      </c>
      <c r="BU47" s="178">
        <v>39933</v>
      </c>
      <c r="BV47" s="344" t="s">
        <v>542</v>
      </c>
      <c r="BW47" s="305" t="s">
        <v>543</v>
      </c>
      <c r="BY47" s="305" t="s">
        <v>869</v>
      </c>
      <c r="BZ47" s="256">
        <v>39974</v>
      </c>
      <c r="CA47" s="258">
        <f t="shared" si="99"/>
        <v>396000</v>
      </c>
      <c r="CB47" s="266">
        <v>1320000</v>
      </c>
      <c r="CC47" s="335">
        <v>40025</v>
      </c>
      <c r="CD47" s="143">
        <v>858000</v>
      </c>
      <c r="CE47" s="143">
        <f t="shared" si="95"/>
        <v>729300</v>
      </c>
      <c r="CF47" s="143">
        <f>+CD47*0.15</f>
        <v>128700</v>
      </c>
      <c r="CG47" s="246">
        <v>554</v>
      </c>
      <c r="CH47" s="256">
        <v>40067</v>
      </c>
      <c r="CI47" s="305" t="s">
        <v>72</v>
      </c>
      <c r="CJ47" s="256">
        <v>40085</v>
      </c>
      <c r="CK47" s="258">
        <f t="shared" si="97"/>
        <v>858000</v>
      </c>
      <c r="CN47" s="143"/>
      <c r="CO47" s="143"/>
      <c r="CP47" s="143"/>
      <c r="CQ47" s="240"/>
      <c r="CR47" s="256"/>
      <c r="CS47" s="305"/>
      <c r="CT47" s="256"/>
      <c r="CU47" s="123"/>
      <c r="CV47" s="258"/>
      <c r="CW47" s="256"/>
      <c r="CX47" s="258"/>
      <c r="CZ47" s="122"/>
      <c r="DA47" s="240"/>
      <c r="DE47" s="258"/>
      <c r="DF47" s="258"/>
      <c r="DG47" s="256"/>
      <c r="DH47" s="258"/>
      <c r="DK47" s="110"/>
      <c r="DP47" s="258"/>
      <c r="DZ47" s="258"/>
      <c r="FB47" s="258"/>
      <c r="FC47" s="258"/>
      <c r="FD47" s="159">
        <f>CA47+CK47+CU47+DE47+DO47+DY47+EI47</f>
        <v>1254000</v>
      </c>
      <c r="FE47" s="388">
        <f t="shared" si="78"/>
        <v>858000</v>
      </c>
      <c r="FF47" s="159">
        <f>Y47*0.3</f>
        <v>396000</v>
      </c>
      <c r="FG47" s="147">
        <f>+V47</f>
        <v>1320000</v>
      </c>
      <c r="FH47" s="147">
        <f t="shared" si="90"/>
        <v>1320000</v>
      </c>
      <c r="FI47" s="145">
        <f>FG47-FH47</f>
        <v>0</v>
      </c>
      <c r="FJ47" s="586">
        <f>FH47/FG47</f>
        <v>1</v>
      </c>
      <c r="FK47" s="135">
        <f>Y47</f>
        <v>1320000</v>
      </c>
      <c r="FL47" s="135">
        <f>BQ47</f>
        <v>396000</v>
      </c>
      <c r="FM47" s="135">
        <f t="shared" si="84"/>
        <v>858000</v>
      </c>
      <c r="FN47" s="401">
        <f>+FO47/FK47</f>
        <v>0.95</v>
      </c>
      <c r="FO47" s="135">
        <f t="shared" si="86"/>
        <v>1254000</v>
      </c>
      <c r="FP47" s="135">
        <f>FK47-FO47</f>
        <v>66000</v>
      </c>
      <c r="FQ47" s="148">
        <f>+FM47/FK47</f>
        <v>0.65</v>
      </c>
      <c r="FR47" s="117">
        <f t="shared" si="89"/>
        <v>0</v>
      </c>
      <c r="FS47" s="258">
        <f>+FK47*0.95</f>
        <v>1254000</v>
      </c>
      <c r="FT47" s="258">
        <f>+FS47-FO47</f>
        <v>0</v>
      </c>
      <c r="FU47" s="258"/>
    </row>
    <row r="48" spans="2:177" ht="12.75" customHeight="1">
      <c r="B48" s="120">
        <f>1+B46</f>
        <v>41</v>
      </c>
      <c r="C48" s="301" t="s">
        <v>346</v>
      </c>
      <c r="D48" s="251" t="s">
        <v>348</v>
      </c>
      <c r="E48" s="251" t="s">
        <v>349</v>
      </c>
      <c r="F48" s="241" t="s">
        <v>1216</v>
      </c>
      <c r="G48" s="308" t="s">
        <v>350</v>
      </c>
      <c r="H48" s="242">
        <v>4831249</v>
      </c>
      <c r="I48" s="243"/>
      <c r="J48" s="243"/>
      <c r="K48" s="243"/>
      <c r="L48" s="243"/>
      <c r="M48" s="135">
        <f t="shared" si="103"/>
        <v>4831249</v>
      </c>
      <c r="N48" s="122">
        <f t="shared" si="67"/>
        <v>4831249</v>
      </c>
      <c r="O48" s="135"/>
      <c r="P48" s="135"/>
      <c r="Q48" s="135"/>
      <c r="R48" s="135"/>
      <c r="S48" s="135"/>
      <c r="T48" s="135"/>
      <c r="U48" s="372">
        <f t="shared" si="68"/>
        <v>3864998.9999999995</v>
      </c>
      <c r="V48" s="316">
        <v>3864999</v>
      </c>
      <c r="X48" s="243"/>
      <c r="Y48" s="122">
        <f>V48</f>
        <v>3864999</v>
      </c>
      <c r="Z48" s="122">
        <f t="shared" si="70"/>
        <v>579749.85</v>
      </c>
      <c r="AA48" s="122">
        <f t="shared" si="71"/>
        <v>1932499.5</v>
      </c>
      <c r="AB48" s="122">
        <f t="shared" si="72"/>
        <v>1352749.65</v>
      </c>
      <c r="AC48" s="122">
        <f t="shared" si="73"/>
        <v>3285249.15</v>
      </c>
      <c r="AD48" s="122">
        <f t="shared" si="74"/>
        <v>966250</v>
      </c>
      <c r="AE48" s="122">
        <f t="shared" si="75"/>
        <v>0</v>
      </c>
      <c r="AF48" s="244">
        <v>38848</v>
      </c>
      <c r="AG48" s="274" t="s">
        <v>351</v>
      </c>
      <c r="AH48" s="244">
        <v>38845</v>
      </c>
      <c r="AJ48" s="244">
        <v>38853</v>
      </c>
      <c r="AK48" s="246">
        <v>5109</v>
      </c>
      <c r="AN48" s="251" t="s">
        <v>1216</v>
      </c>
      <c r="AO48" s="240" t="s">
        <v>1275</v>
      </c>
      <c r="AP48" s="251" t="s">
        <v>352</v>
      </c>
      <c r="AQ48" s="240">
        <v>1</v>
      </c>
      <c r="AR48" s="240">
        <v>73042</v>
      </c>
      <c r="AS48" s="241" t="s">
        <v>1125</v>
      </c>
      <c r="AT48" s="241" t="s">
        <v>87</v>
      </c>
      <c r="AU48" s="241" t="s">
        <v>1124</v>
      </c>
      <c r="AV48" s="304" t="s">
        <v>1150</v>
      </c>
      <c r="AW48" s="317" t="s">
        <v>88</v>
      </c>
      <c r="AY48" s="250" t="s">
        <v>274</v>
      </c>
      <c r="AZ48" s="250" t="s">
        <v>638</v>
      </c>
      <c r="BA48" s="624" t="s">
        <v>1126</v>
      </c>
      <c r="BB48" s="624"/>
      <c r="BC48" s="444">
        <v>904</v>
      </c>
      <c r="BD48" s="445">
        <v>38930</v>
      </c>
      <c r="BE48" s="241"/>
      <c r="BK48" s="255" t="s">
        <v>1301</v>
      </c>
      <c r="BL48" s="256">
        <v>39070</v>
      </c>
      <c r="BM48" s="256">
        <v>39021</v>
      </c>
      <c r="BN48" s="256">
        <v>38806</v>
      </c>
      <c r="BO48" s="306">
        <f>18+12.09</f>
        <v>30.09</v>
      </c>
      <c r="BP48" s="124">
        <v>39979</v>
      </c>
      <c r="BQ48" s="151">
        <f t="shared" si="76"/>
        <v>1159499.7</v>
      </c>
      <c r="BR48" s="135">
        <f t="shared" si="93"/>
        <v>985574.7449999999</v>
      </c>
      <c r="BS48" s="135">
        <f t="shared" si="94"/>
        <v>173924.955</v>
      </c>
      <c r="BT48" s="259">
        <v>25</v>
      </c>
      <c r="BU48" s="178">
        <v>39121</v>
      </c>
      <c r="BV48" s="306"/>
      <c r="BY48" s="305" t="s">
        <v>741</v>
      </c>
      <c r="BZ48" s="256">
        <v>39133</v>
      </c>
      <c r="CA48" s="258">
        <f t="shared" si="99"/>
        <v>1159499.7</v>
      </c>
      <c r="CB48" s="258">
        <v>1382326.13</v>
      </c>
      <c r="CC48" s="265">
        <v>39630</v>
      </c>
      <c r="CD48" s="143">
        <f>+CB48</f>
        <v>1382326.13</v>
      </c>
      <c r="CE48" s="143">
        <f t="shared" si="95"/>
        <v>1174977.2104999998</v>
      </c>
      <c r="CF48" s="143">
        <f t="shared" si="96"/>
        <v>207348.9195</v>
      </c>
      <c r="CG48" s="246">
        <v>288</v>
      </c>
      <c r="CH48" s="256">
        <v>39653</v>
      </c>
      <c r="CI48" s="305" t="s">
        <v>1121</v>
      </c>
      <c r="CJ48" s="256">
        <v>39668</v>
      </c>
      <c r="CK48" s="258">
        <f t="shared" si="97"/>
        <v>1382326.13</v>
      </c>
      <c r="CL48" s="258">
        <v>584958.95</v>
      </c>
      <c r="CN48" s="143">
        <f>+CL48</f>
        <v>584958.95</v>
      </c>
      <c r="CO48" s="143">
        <f>+CN48*0.85</f>
        <v>497215.1074999999</v>
      </c>
      <c r="CP48" s="143">
        <f>+CN48*0.15</f>
        <v>87743.84249999998</v>
      </c>
      <c r="CQ48" s="240">
        <v>406</v>
      </c>
      <c r="CR48" s="256">
        <v>39728</v>
      </c>
      <c r="CS48" s="414" t="s">
        <v>1135</v>
      </c>
      <c r="CT48" s="270">
        <v>39744</v>
      </c>
      <c r="CU48" s="123">
        <f>CN48</f>
        <v>584958.95</v>
      </c>
      <c r="CV48" s="258">
        <v>1212390.44</v>
      </c>
      <c r="CX48" s="258">
        <v>544964.2700000003</v>
      </c>
      <c r="CY48" s="143">
        <f>+CX48*0.85</f>
        <v>463219.6295000002</v>
      </c>
      <c r="CZ48" s="143">
        <f>+CX48*0.15</f>
        <v>81744.64050000004</v>
      </c>
      <c r="DA48" s="246">
        <v>565</v>
      </c>
      <c r="DB48" s="256">
        <v>39772</v>
      </c>
      <c r="DC48" s="305" t="s">
        <v>235</v>
      </c>
      <c r="DD48" s="256">
        <v>39791</v>
      </c>
      <c r="DE48" s="258">
        <f>+CX48</f>
        <v>544964.2700000003</v>
      </c>
      <c r="DF48" s="258">
        <v>151146.6</v>
      </c>
      <c r="DG48" s="256">
        <v>39811</v>
      </c>
      <c r="DH48" s="255">
        <v>0</v>
      </c>
      <c r="DI48" s="255">
        <v>0</v>
      </c>
      <c r="DJ48" s="255">
        <v>0</v>
      </c>
      <c r="DO48" s="255">
        <v>0</v>
      </c>
      <c r="DP48" s="258">
        <f>640277.87-106100.99</f>
        <v>534176.88</v>
      </c>
      <c r="DQ48" s="256">
        <v>40028</v>
      </c>
      <c r="DR48" s="255">
        <v>0</v>
      </c>
      <c r="DY48" s="255">
        <v>0</v>
      </c>
      <c r="DZ48" s="258"/>
      <c r="FC48" s="258"/>
      <c r="FD48" s="159">
        <f t="shared" si="77"/>
        <v>3671749.0500000007</v>
      </c>
      <c r="FE48" s="388">
        <f t="shared" si="78"/>
        <v>2512249.35</v>
      </c>
      <c r="FF48" s="159">
        <f t="shared" si="79"/>
        <v>1159499.7</v>
      </c>
      <c r="FG48" s="147">
        <f t="shared" si="98"/>
        <v>3864999</v>
      </c>
      <c r="FH48" s="147">
        <f>CL48+CB48+DF48+DP48+CV48+DZ48+EJ48+ET48</f>
        <v>3864998.9999999995</v>
      </c>
      <c r="FI48" s="145">
        <f t="shared" si="80"/>
        <v>0</v>
      </c>
      <c r="FJ48" s="586">
        <f t="shared" si="81"/>
        <v>0.9999999999999999</v>
      </c>
      <c r="FK48" s="135">
        <f t="shared" si="82"/>
        <v>3864999</v>
      </c>
      <c r="FL48" s="135">
        <f t="shared" si="83"/>
        <v>1159499.7</v>
      </c>
      <c r="FM48" s="135">
        <f t="shared" si="84"/>
        <v>2512249.35</v>
      </c>
      <c r="FN48" s="379">
        <f t="shared" si="85"/>
        <v>0.95</v>
      </c>
      <c r="FO48" s="135">
        <f t="shared" si="86"/>
        <v>3671749.05</v>
      </c>
      <c r="FP48" s="135">
        <f t="shared" si="87"/>
        <v>193249.9500000002</v>
      </c>
      <c r="FQ48" s="148">
        <f t="shared" si="88"/>
        <v>0.65</v>
      </c>
      <c r="FR48" s="117">
        <f t="shared" si="89"/>
        <v>0</v>
      </c>
      <c r="FU48" s="258"/>
    </row>
    <row r="49" spans="2:177" ht="12.75" customHeight="1">
      <c r="B49" s="120"/>
      <c r="C49" s="301" t="s">
        <v>346</v>
      </c>
      <c r="D49" s="251" t="s">
        <v>1366</v>
      </c>
      <c r="E49" s="251" t="s">
        <v>1366</v>
      </c>
      <c r="F49" s="241" t="s">
        <v>1216</v>
      </c>
      <c r="G49" s="308" t="s">
        <v>350</v>
      </c>
      <c r="H49" s="242">
        <v>106101</v>
      </c>
      <c r="I49" s="243"/>
      <c r="J49" s="243"/>
      <c r="K49" s="243"/>
      <c r="L49" s="243"/>
      <c r="M49" s="135">
        <f t="shared" si="103"/>
        <v>106101</v>
      </c>
      <c r="N49" s="122">
        <f t="shared" si="67"/>
        <v>106101</v>
      </c>
      <c r="O49" s="135"/>
      <c r="P49" s="135"/>
      <c r="Q49" s="135"/>
      <c r="R49" s="135"/>
      <c r="S49" s="135"/>
      <c r="T49" s="135"/>
      <c r="U49" s="372">
        <f t="shared" si="68"/>
        <v>106100.99</v>
      </c>
      <c r="V49" s="135">
        <f>+M49</f>
        <v>106101</v>
      </c>
      <c r="X49" s="243"/>
      <c r="Y49" s="122">
        <f>V49</f>
        <v>106101</v>
      </c>
      <c r="Z49" s="122">
        <f t="shared" si="70"/>
        <v>15915.15</v>
      </c>
      <c r="AA49" s="122">
        <f>+Y49*0.5</f>
        <v>53050.5</v>
      </c>
      <c r="AB49" s="122">
        <f>+Y49*0.35</f>
        <v>37135.35</v>
      </c>
      <c r="AC49" s="122">
        <f>+Y49*0.85</f>
        <v>90185.84999999999</v>
      </c>
      <c r="AD49" s="122">
        <f t="shared" si="74"/>
        <v>0</v>
      </c>
      <c r="AE49" s="122">
        <f t="shared" si="75"/>
        <v>0</v>
      </c>
      <c r="AF49" s="244">
        <v>39811</v>
      </c>
      <c r="AG49" s="249">
        <v>2662</v>
      </c>
      <c r="AH49" s="244">
        <v>39811</v>
      </c>
      <c r="AJ49" s="244">
        <v>39841</v>
      </c>
      <c r="AK49" s="246">
        <v>448</v>
      </c>
      <c r="AN49" s="251" t="s">
        <v>1216</v>
      </c>
      <c r="AO49" s="240" t="s">
        <v>1275</v>
      </c>
      <c r="AP49" s="251" t="s">
        <v>352</v>
      </c>
      <c r="AQ49" s="240">
        <v>1</v>
      </c>
      <c r="AR49" s="240">
        <v>73042</v>
      </c>
      <c r="AS49" s="241" t="s">
        <v>1125</v>
      </c>
      <c r="AT49" s="241" t="s">
        <v>87</v>
      </c>
      <c r="AU49" s="241" t="s">
        <v>1124</v>
      </c>
      <c r="AV49" s="304" t="s">
        <v>1150</v>
      </c>
      <c r="AW49" s="317" t="s">
        <v>88</v>
      </c>
      <c r="AY49" s="250" t="s">
        <v>274</v>
      </c>
      <c r="AZ49" s="250" t="s">
        <v>638</v>
      </c>
      <c r="BA49" s="624" t="s">
        <v>1126</v>
      </c>
      <c r="BB49" s="624"/>
      <c r="BC49" s="447">
        <v>190</v>
      </c>
      <c r="BD49" s="445">
        <v>39911</v>
      </c>
      <c r="BE49" s="241"/>
      <c r="BK49" s="255" t="s">
        <v>1301</v>
      </c>
      <c r="BL49" s="256">
        <v>39070</v>
      </c>
      <c r="BM49" s="256">
        <v>39021</v>
      </c>
      <c r="BN49" s="256"/>
      <c r="BO49" s="306"/>
      <c r="BP49" s="124">
        <v>39979</v>
      </c>
      <c r="BQ49" s="151">
        <f t="shared" si="76"/>
        <v>31830.3</v>
      </c>
      <c r="BR49" s="135">
        <f>+AC49*0.3</f>
        <v>27055.754999999997</v>
      </c>
      <c r="BS49" s="135">
        <f>+Z49*0.3</f>
        <v>4774.545</v>
      </c>
      <c r="BT49" s="336">
        <v>228</v>
      </c>
      <c r="BU49" s="178">
        <v>39930</v>
      </c>
      <c r="BV49" s="306"/>
      <c r="BY49" s="305" t="s">
        <v>870</v>
      </c>
      <c r="BZ49" s="256">
        <v>39960</v>
      </c>
      <c r="CA49" s="258">
        <f t="shared" si="99"/>
        <v>31830.3</v>
      </c>
      <c r="CB49" s="258">
        <v>106100.99</v>
      </c>
      <c r="CC49" s="265">
        <v>40028</v>
      </c>
      <c r="CD49" s="143">
        <v>68965.65</v>
      </c>
      <c r="CE49" s="143">
        <f t="shared" si="95"/>
        <v>58620.80249999999</v>
      </c>
      <c r="CF49" s="143">
        <f>+CD49*0.15</f>
        <v>10344.847499999998</v>
      </c>
      <c r="CG49" s="246">
        <v>555</v>
      </c>
      <c r="CH49" s="256">
        <v>40067</v>
      </c>
      <c r="CI49" s="305" t="s">
        <v>67</v>
      </c>
      <c r="CJ49" s="256">
        <v>40081</v>
      </c>
      <c r="CK49" s="258">
        <f t="shared" si="97"/>
        <v>68965.65</v>
      </c>
      <c r="CN49" s="143"/>
      <c r="CO49" s="143"/>
      <c r="CP49" s="143"/>
      <c r="CQ49" s="240"/>
      <c r="CR49" s="256"/>
      <c r="CS49" s="414"/>
      <c r="CT49" s="270"/>
      <c r="CU49" s="123"/>
      <c r="CV49" s="258"/>
      <c r="CX49" s="258"/>
      <c r="CY49" s="143"/>
      <c r="CZ49" s="143"/>
      <c r="DA49" s="246"/>
      <c r="DB49" s="256"/>
      <c r="DC49" s="305"/>
      <c r="DD49" s="256"/>
      <c r="DE49" s="258"/>
      <c r="DF49" s="258"/>
      <c r="DG49" s="256"/>
      <c r="DP49" s="258"/>
      <c r="DZ49" s="258"/>
      <c r="FB49" s="258"/>
      <c r="FD49" s="159">
        <f>CA49+CK49+CU49+DE49+DO49+DY49+EI49</f>
        <v>100795.95</v>
      </c>
      <c r="FE49" s="388">
        <f t="shared" si="78"/>
        <v>68965.65</v>
      </c>
      <c r="FF49" s="159">
        <f>Y49*0.3</f>
        <v>31830.3</v>
      </c>
      <c r="FG49" s="147">
        <f>+V49</f>
        <v>106101</v>
      </c>
      <c r="FH49" s="147">
        <f>CL49+CB49+DF49+DP49+CV49+DZ49+EJ49+ET49</f>
        <v>106100.99</v>
      </c>
      <c r="FI49" s="145">
        <f>FG49-FH49</f>
        <v>0.00999999999476131</v>
      </c>
      <c r="FJ49" s="586">
        <f>FH49/FG49</f>
        <v>0.9999999057501815</v>
      </c>
      <c r="FK49" s="135">
        <f>Y49</f>
        <v>106101</v>
      </c>
      <c r="FL49" s="135">
        <f>BQ49</f>
        <v>31830.3</v>
      </c>
      <c r="FM49" s="135">
        <f t="shared" si="84"/>
        <v>68965.65</v>
      </c>
      <c r="FN49" s="401">
        <f>+FO49/FK49</f>
        <v>0.95</v>
      </c>
      <c r="FO49" s="135">
        <f t="shared" si="86"/>
        <v>100795.95</v>
      </c>
      <c r="FP49" s="135">
        <f>FK49-FO49</f>
        <v>5305.050000000003</v>
      </c>
      <c r="FQ49" s="148">
        <f>+FM49/FK49</f>
        <v>0.6499999999999999</v>
      </c>
      <c r="FR49" s="117">
        <f t="shared" si="89"/>
        <v>0.00999999999476131</v>
      </c>
      <c r="FS49" s="258">
        <f>+FK49*0.95</f>
        <v>100795.95</v>
      </c>
      <c r="FT49" s="258">
        <f>+FS49-FO49</f>
        <v>0</v>
      </c>
      <c r="FU49" s="258"/>
    </row>
    <row r="50" spans="2:176" ht="12.75" customHeight="1">
      <c r="B50" s="120">
        <f>1+B48</f>
        <v>42</v>
      </c>
      <c r="C50" s="301" t="s">
        <v>392</v>
      </c>
      <c r="D50" s="251" t="s">
        <v>449</v>
      </c>
      <c r="E50" s="251" t="s">
        <v>449</v>
      </c>
      <c r="F50" s="241" t="s">
        <v>450</v>
      </c>
      <c r="G50" s="241" t="s">
        <v>450</v>
      </c>
      <c r="H50" s="242">
        <v>5802400</v>
      </c>
      <c r="I50" s="243"/>
      <c r="J50" s="243"/>
      <c r="K50" s="243"/>
      <c r="L50" s="243"/>
      <c r="M50" s="243">
        <f t="shared" si="103"/>
        <v>5802400</v>
      </c>
      <c r="N50" s="122">
        <f t="shared" si="67"/>
        <v>5802400</v>
      </c>
      <c r="O50" s="243"/>
      <c r="P50" s="243"/>
      <c r="Q50" s="243"/>
      <c r="R50" s="243"/>
      <c r="S50" s="243"/>
      <c r="T50" s="243"/>
      <c r="U50" s="372">
        <f t="shared" si="68"/>
        <v>4654950.97</v>
      </c>
      <c r="V50" s="135">
        <f>+M50</f>
        <v>5802400</v>
      </c>
      <c r="X50" s="243"/>
      <c r="Y50" s="243">
        <v>5802400</v>
      </c>
      <c r="Z50" s="122">
        <f t="shared" si="70"/>
        <v>870360</v>
      </c>
      <c r="AA50" s="122">
        <f t="shared" si="71"/>
        <v>2901200</v>
      </c>
      <c r="AB50" s="122">
        <f t="shared" si="72"/>
        <v>2030839.9999999998</v>
      </c>
      <c r="AC50" s="122">
        <f t="shared" si="73"/>
        <v>4932040</v>
      </c>
      <c r="AD50" s="122">
        <f t="shared" si="74"/>
        <v>0</v>
      </c>
      <c r="AE50" s="122">
        <f t="shared" si="75"/>
        <v>0</v>
      </c>
      <c r="AF50" s="244">
        <v>38901</v>
      </c>
      <c r="AG50" s="274" t="s">
        <v>451</v>
      </c>
      <c r="AH50" s="244">
        <v>38901</v>
      </c>
      <c r="AJ50" s="244">
        <v>38901</v>
      </c>
      <c r="AK50" s="246">
        <v>7271</v>
      </c>
      <c r="AN50" s="241" t="s">
        <v>452</v>
      </c>
      <c r="AO50" s="240" t="s">
        <v>17</v>
      </c>
      <c r="AP50" s="251" t="s">
        <v>453</v>
      </c>
      <c r="AQ50" s="248" t="s">
        <v>26</v>
      </c>
      <c r="AR50" s="240">
        <v>71023</v>
      </c>
      <c r="AS50" s="247" t="s">
        <v>521</v>
      </c>
      <c r="AT50" s="247" t="s">
        <v>420</v>
      </c>
      <c r="AU50" s="318" t="s">
        <v>522</v>
      </c>
      <c r="AV50" s="319" t="s">
        <v>393</v>
      </c>
      <c r="AW50" s="320" t="s">
        <v>679</v>
      </c>
      <c r="AX50" s="246" t="s">
        <v>1337</v>
      </c>
      <c r="AY50" s="250" t="s">
        <v>673</v>
      </c>
      <c r="AZ50" s="250" t="s">
        <v>239</v>
      </c>
      <c r="BA50" s="624" t="s">
        <v>238</v>
      </c>
      <c r="BB50" s="624"/>
      <c r="BC50" s="447">
        <v>900</v>
      </c>
      <c r="BD50" s="445">
        <v>38930</v>
      </c>
      <c r="BE50" s="241"/>
      <c r="BK50" s="255" t="s">
        <v>1301</v>
      </c>
      <c r="BL50" s="256">
        <v>39073</v>
      </c>
      <c r="BM50" s="256">
        <v>39155</v>
      </c>
      <c r="BN50" s="256">
        <v>38930</v>
      </c>
      <c r="BO50" s="306">
        <f>18+9.05</f>
        <v>27.05</v>
      </c>
      <c r="BP50" s="124" t="s">
        <v>612</v>
      </c>
      <c r="BQ50" s="151">
        <f t="shared" si="76"/>
        <v>1740720</v>
      </c>
      <c r="BR50" s="135">
        <f>+AC50*0.3</f>
        <v>1479612</v>
      </c>
      <c r="BS50" s="135">
        <f>+Z50*0.3</f>
        <v>261108</v>
      </c>
      <c r="BT50" s="259">
        <v>205</v>
      </c>
      <c r="BU50" s="321">
        <v>39259</v>
      </c>
      <c r="BV50" s="306"/>
      <c r="BY50" s="305" t="s">
        <v>742</v>
      </c>
      <c r="BZ50" s="256">
        <v>39282</v>
      </c>
      <c r="CA50" s="258">
        <f t="shared" si="99"/>
        <v>1740720</v>
      </c>
      <c r="CB50" s="258">
        <v>474801.85</v>
      </c>
      <c r="CC50" s="265">
        <v>39746</v>
      </c>
      <c r="CD50" s="143">
        <f>+CB50</f>
        <v>474801.85</v>
      </c>
      <c r="CE50" s="143">
        <f t="shared" si="95"/>
        <v>403581.57249999995</v>
      </c>
      <c r="CF50" s="143">
        <f t="shared" si="96"/>
        <v>71220.2775</v>
      </c>
      <c r="CG50" s="246">
        <v>536</v>
      </c>
      <c r="CH50" s="256">
        <v>39765</v>
      </c>
      <c r="CI50" s="255" t="s">
        <v>511</v>
      </c>
      <c r="CJ50" s="256">
        <v>39779</v>
      </c>
      <c r="CK50" s="258">
        <f t="shared" si="97"/>
        <v>474801.85</v>
      </c>
      <c r="CL50" s="258">
        <v>33966</v>
      </c>
      <c r="CN50" s="143">
        <f>+CL50</f>
        <v>33966</v>
      </c>
      <c r="CO50" s="143">
        <f>+CN50*0.85</f>
        <v>28871.1</v>
      </c>
      <c r="CP50" s="143">
        <f>+CN50*0.15</f>
        <v>5094.9</v>
      </c>
      <c r="CQ50" s="240">
        <v>560</v>
      </c>
      <c r="CR50" s="256">
        <v>39772</v>
      </c>
      <c r="CS50" s="305" t="s">
        <v>322</v>
      </c>
      <c r="CT50" s="256">
        <v>39786</v>
      </c>
      <c r="CU50" s="123">
        <f>CN50</f>
        <v>33966</v>
      </c>
      <c r="CV50" s="258">
        <v>1439574.61</v>
      </c>
      <c r="CX50" s="258">
        <f>+CV50</f>
        <v>1439574.61</v>
      </c>
      <c r="CY50" s="143">
        <f>+CX50*0.85</f>
        <v>1223638.4185000001</v>
      </c>
      <c r="CZ50" s="141">
        <f>+CX50*0.15</f>
        <v>215936.19150000002</v>
      </c>
      <c r="DA50" s="240">
        <v>624</v>
      </c>
      <c r="DB50" s="256">
        <v>39791</v>
      </c>
      <c r="DC50" s="305" t="s">
        <v>310</v>
      </c>
      <c r="DD50" s="256">
        <v>39826</v>
      </c>
      <c r="DE50" s="258">
        <f>+CX50</f>
        <v>1439574.61</v>
      </c>
      <c r="DF50" s="258">
        <v>43397.76</v>
      </c>
      <c r="DG50" s="255" t="s">
        <v>418</v>
      </c>
      <c r="DH50" s="258">
        <v>0</v>
      </c>
      <c r="DI50" s="141">
        <f>+DH50*0.85</f>
        <v>0</v>
      </c>
      <c r="DJ50" s="141">
        <f>+DH50*0.15</f>
        <v>0</v>
      </c>
      <c r="DO50" s="255">
        <v>0</v>
      </c>
      <c r="DP50" s="258">
        <v>1462254.71</v>
      </c>
      <c r="DQ50" s="256">
        <v>39895</v>
      </c>
      <c r="DR50" s="258">
        <f>+DP50</f>
        <v>1462254.71</v>
      </c>
      <c r="DS50" s="258">
        <f>+DR50*0.85</f>
        <v>1242916.5034999999</v>
      </c>
      <c r="DT50" s="258">
        <f>+DR50*0.15</f>
        <v>219338.2065</v>
      </c>
      <c r="DU50" s="255">
        <v>503</v>
      </c>
      <c r="DV50" s="256">
        <v>40021</v>
      </c>
      <c r="DW50" s="305" t="s">
        <v>64</v>
      </c>
      <c r="DX50" s="256">
        <v>40029</v>
      </c>
      <c r="DY50" s="258">
        <f>+DR50</f>
        <v>1462254.71</v>
      </c>
      <c r="DZ50" s="258">
        <f>-137569.23+1338525.27</f>
        <v>1200956.04</v>
      </c>
      <c r="EA50" s="398" t="s">
        <v>1173</v>
      </c>
      <c r="EB50" s="258"/>
      <c r="EC50" s="258">
        <f>+EB50*0.85</f>
        <v>0</v>
      </c>
      <c r="ED50" s="258">
        <f>+EB50*0.15</f>
        <v>0</v>
      </c>
      <c r="EE50" s="306"/>
      <c r="EI50" s="258">
        <f>+EB50</f>
        <v>0</v>
      </c>
      <c r="EJ50" s="258"/>
      <c r="EK50" s="306"/>
      <c r="EL50" s="258"/>
      <c r="FD50" s="159">
        <f t="shared" si="77"/>
        <v>5151317.17</v>
      </c>
      <c r="FE50" s="388">
        <f t="shared" si="78"/>
        <v>3410597.17</v>
      </c>
      <c r="FF50" s="159">
        <f t="shared" si="79"/>
        <v>1740720</v>
      </c>
      <c r="FG50" s="147">
        <f t="shared" si="98"/>
        <v>5802400</v>
      </c>
      <c r="FH50" s="147">
        <f>CL50+CB50+DF50+DP50+CV50+DZ50+EJ50+ET50</f>
        <v>4654950.97</v>
      </c>
      <c r="FI50" s="145">
        <f t="shared" si="80"/>
        <v>1147449.0300000003</v>
      </c>
      <c r="FJ50" s="421">
        <f t="shared" si="81"/>
        <v>0.8022457896732386</v>
      </c>
      <c r="FK50" s="135">
        <f t="shared" si="82"/>
        <v>5802400</v>
      </c>
      <c r="FL50" s="135">
        <f t="shared" si="83"/>
        <v>1740720</v>
      </c>
      <c r="FM50" s="135">
        <f t="shared" si="84"/>
        <v>3410597.17</v>
      </c>
      <c r="FN50" s="401">
        <f t="shared" si="85"/>
        <v>0.887790771060251</v>
      </c>
      <c r="FO50" s="135">
        <f t="shared" si="86"/>
        <v>5151317.17</v>
      </c>
      <c r="FP50" s="135">
        <f t="shared" si="87"/>
        <v>651082.8300000001</v>
      </c>
      <c r="FQ50" s="148">
        <f>+FM50/FK50</f>
        <v>0.5877907710602509</v>
      </c>
      <c r="FR50" s="117">
        <f t="shared" si="89"/>
        <v>1147449.0300000003</v>
      </c>
      <c r="FS50" s="258"/>
      <c r="FT50" s="258"/>
    </row>
    <row r="51" spans="1:174" s="294" customFormat="1" ht="12.75" customHeight="1">
      <c r="A51" s="600"/>
      <c r="B51" s="356"/>
      <c r="C51" s="197"/>
      <c r="D51" s="286"/>
      <c r="E51" s="357"/>
      <c r="F51" s="286"/>
      <c r="G51" s="286"/>
      <c r="H51" s="287"/>
      <c r="I51" s="288"/>
      <c r="J51" s="288"/>
      <c r="K51" s="288"/>
      <c r="L51" s="288"/>
      <c r="M51" s="330">
        <f>SUM(M35:M50)</f>
        <v>51014489.73128608</v>
      </c>
      <c r="N51" s="288"/>
      <c r="O51" s="288"/>
      <c r="P51" s="288"/>
      <c r="Q51" s="288"/>
      <c r="R51" s="288"/>
      <c r="S51" s="288"/>
      <c r="T51" s="288"/>
      <c r="U51" s="330">
        <f>SUM(U35:U50)</f>
        <v>45701057.2</v>
      </c>
      <c r="V51" s="358">
        <f>SUM(V35:V50)</f>
        <v>48255120</v>
      </c>
      <c r="W51" s="288"/>
      <c r="X51" s="288"/>
      <c r="Y51" s="288">
        <f>SUM(Y35:Y50)</f>
        <v>48255120</v>
      </c>
      <c r="Z51" s="359"/>
      <c r="AA51" s="359"/>
      <c r="AB51" s="359"/>
      <c r="AC51" s="359"/>
      <c r="AD51" s="359"/>
      <c r="AE51" s="359"/>
      <c r="AF51" s="289"/>
      <c r="AG51" s="360"/>
      <c r="AH51" s="289"/>
      <c r="AI51" s="291"/>
      <c r="AJ51" s="289"/>
      <c r="AK51" s="291"/>
      <c r="AL51" s="290"/>
      <c r="AM51" s="284"/>
      <c r="AN51" s="286"/>
      <c r="AO51" s="284"/>
      <c r="AP51" s="284"/>
      <c r="AQ51" s="361"/>
      <c r="AR51" s="284"/>
      <c r="AS51" s="351"/>
      <c r="AT51" s="351"/>
      <c r="AU51" s="352"/>
      <c r="AV51" s="353"/>
      <c r="AW51" s="354"/>
      <c r="AX51" s="291"/>
      <c r="AY51" s="292"/>
      <c r="AZ51" s="292"/>
      <c r="BA51" s="291"/>
      <c r="BB51" s="291"/>
      <c r="BC51" s="446"/>
      <c r="BD51" s="449"/>
      <c r="BE51" s="286"/>
      <c r="BF51" s="293"/>
      <c r="BG51" s="293"/>
      <c r="BH51" s="288"/>
      <c r="BL51" s="298"/>
      <c r="BM51" s="298"/>
      <c r="BN51" s="298"/>
      <c r="BP51" s="355"/>
      <c r="BQ51" s="206">
        <f>SUM(BQ35:BQ50)</f>
        <v>14353536</v>
      </c>
      <c r="BR51" s="358"/>
      <c r="BS51" s="358"/>
      <c r="BT51" s="362"/>
      <c r="BU51" s="363"/>
      <c r="BV51" s="364"/>
      <c r="BY51" s="365"/>
      <c r="BZ51" s="298"/>
      <c r="CA51" s="296">
        <f>SUM(CA35:CA50)</f>
        <v>14353539</v>
      </c>
      <c r="CB51" s="296"/>
      <c r="CC51" s="297"/>
      <c r="CD51" s="296"/>
      <c r="CE51" s="296"/>
      <c r="CF51" s="296"/>
      <c r="CG51" s="284"/>
      <c r="CH51" s="298"/>
      <c r="CL51" s="296"/>
      <c r="CN51" s="296"/>
      <c r="CQ51" s="284"/>
      <c r="DA51" s="284"/>
      <c r="FD51" s="211">
        <f>SUM(FD35:FD50)</f>
        <v>44762478.22</v>
      </c>
      <c r="FE51" s="299">
        <f>SUM(FE35:FE50)</f>
        <v>30408939.22</v>
      </c>
      <c r="FF51" s="299">
        <f>SUM(FF35:FF50)</f>
        <v>14476536</v>
      </c>
      <c r="FG51" s="296">
        <f>SUM(FG35:FG50)</f>
        <v>48255120</v>
      </c>
      <c r="FH51" s="296">
        <f>SUM(FH35:FH50)</f>
        <v>45701057.2</v>
      </c>
      <c r="FI51" s="294">
        <f t="shared" si="80"/>
        <v>2554062.799999997</v>
      </c>
      <c r="FJ51" s="424"/>
      <c r="FK51" s="296">
        <f>SUM(FK35:FK50)</f>
        <v>48255120</v>
      </c>
      <c r="FL51" s="296">
        <f>SUM(FL35:FL50)</f>
        <v>14353536</v>
      </c>
      <c r="FM51" s="296">
        <f>SUM(FM35:FM50)</f>
        <v>30408939.22</v>
      </c>
      <c r="FN51" s="220">
        <f t="shared" si="85"/>
        <v>0.9276212600859763</v>
      </c>
      <c r="FO51" s="296">
        <f>SUM(FO35:FO50)</f>
        <v>44762475.22</v>
      </c>
      <c r="FP51" s="296">
        <f>SUM(FP35:FP50)</f>
        <v>3492644.7800000003</v>
      </c>
      <c r="FR51" s="296"/>
    </row>
    <row r="52" spans="2:160" ht="12.75" customHeight="1" hidden="1">
      <c r="B52" s="120"/>
      <c r="C52" s="301"/>
      <c r="D52" s="621" t="s">
        <v>1011</v>
      </c>
      <c r="E52" s="621"/>
      <c r="F52" s="621"/>
      <c r="G52" s="366"/>
      <c r="H52" s="242"/>
      <c r="I52" s="243"/>
      <c r="J52" s="243"/>
      <c r="K52" s="243"/>
      <c r="L52" s="243"/>
      <c r="M52" s="243"/>
      <c r="N52" s="243"/>
      <c r="O52" s="243"/>
      <c r="P52" s="243"/>
      <c r="Q52" s="243"/>
      <c r="R52" s="243"/>
      <c r="S52" s="243"/>
      <c r="T52" s="243"/>
      <c r="U52" s="243"/>
      <c r="V52" s="135"/>
      <c r="X52" s="243"/>
      <c r="Y52" s="243"/>
      <c r="Z52" s="122"/>
      <c r="AA52" s="122"/>
      <c r="AB52" s="122"/>
      <c r="AC52" s="122"/>
      <c r="AD52" s="122"/>
      <c r="AE52" s="122"/>
      <c r="AG52" s="274"/>
      <c r="AH52" s="244"/>
      <c r="AN52" s="241"/>
      <c r="AQ52" s="248"/>
      <c r="AS52" s="247"/>
      <c r="AT52" s="247"/>
      <c r="AU52" s="318"/>
      <c r="AV52" s="319"/>
      <c r="AW52" s="320"/>
      <c r="BD52" s="445"/>
      <c r="BE52" s="241"/>
      <c r="BL52" s="256"/>
      <c r="BM52" s="256"/>
      <c r="BN52" s="256"/>
      <c r="BO52" s="255"/>
      <c r="BP52" s="124"/>
      <c r="BQ52" s="151"/>
      <c r="BR52" s="135"/>
      <c r="BS52" s="135"/>
      <c r="BT52" s="259"/>
      <c r="BU52" s="321"/>
      <c r="BV52" s="306"/>
      <c r="BY52" s="305"/>
      <c r="BZ52" s="256"/>
      <c r="CA52" s="258"/>
      <c r="CB52" s="258"/>
      <c r="CQ52" s="240"/>
      <c r="DA52" s="240"/>
      <c r="FD52" s="146"/>
    </row>
    <row r="53" spans="2:169" ht="12.75" customHeight="1" hidden="1">
      <c r="B53" s="120"/>
      <c r="C53" s="301">
        <v>1</v>
      </c>
      <c r="D53" s="241"/>
      <c r="E53" s="255" t="s">
        <v>1024</v>
      </c>
      <c r="F53" s="241" t="s">
        <v>1234</v>
      </c>
      <c r="G53" s="241"/>
      <c r="H53" s="242">
        <v>1265280</v>
      </c>
      <c r="I53" s="243"/>
      <c r="J53" s="243"/>
      <c r="K53" s="243"/>
      <c r="L53" s="243"/>
      <c r="M53" s="242">
        <f>+H53</f>
        <v>1265280</v>
      </c>
      <c r="N53" s="243"/>
      <c r="O53" s="243"/>
      <c r="P53" s="243"/>
      <c r="Q53" s="243"/>
      <c r="R53" s="243"/>
      <c r="S53" s="243"/>
      <c r="T53" s="243"/>
      <c r="U53" s="243"/>
      <c r="V53" s="135"/>
      <c r="X53" s="243"/>
      <c r="Y53" s="242"/>
      <c r="Z53" s="122"/>
      <c r="AA53" s="122"/>
      <c r="AB53" s="122"/>
      <c r="AC53" s="122"/>
      <c r="AD53" s="122"/>
      <c r="AE53" s="122"/>
      <c r="AG53" s="274"/>
      <c r="AH53" s="244"/>
      <c r="AN53" s="241"/>
      <c r="AQ53" s="248"/>
      <c r="AS53" s="247"/>
      <c r="AT53" s="247"/>
      <c r="AU53" s="318"/>
      <c r="AV53" s="319"/>
      <c r="AW53" s="320"/>
      <c r="BD53" s="445"/>
      <c r="BE53" s="241"/>
      <c r="BL53" s="256"/>
      <c r="BM53" s="256"/>
      <c r="BN53" s="256"/>
      <c r="BO53" s="255"/>
      <c r="BP53" s="124"/>
      <c r="BQ53" s="151"/>
      <c r="BR53" s="135"/>
      <c r="BS53" s="135"/>
      <c r="BT53" s="259"/>
      <c r="BU53" s="321"/>
      <c r="BV53" s="306"/>
      <c r="BY53" s="305"/>
      <c r="BZ53" s="256"/>
      <c r="CA53" s="258"/>
      <c r="CB53" s="258"/>
      <c r="CQ53" s="240"/>
      <c r="DA53" s="240"/>
      <c r="FD53" s="146"/>
      <c r="FM53" s="258"/>
    </row>
    <row r="54" spans="2:169" ht="12.75" customHeight="1" hidden="1">
      <c r="B54" s="120"/>
      <c r="C54" s="301">
        <v>2</v>
      </c>
      <c r="D54" s="241"/>
      <c r="E54" s="251" t="s">
        <v>1019</v>
      </c>
      <c r="F54" s="241" t="s">
        <v>354</v>
      </c>
      <c r="G54" s="241"/>
      <c r="H54" s="242">
        <v>1720000</v>
      </c>
      <c r="I54" s="243"/>
      <c r="J54" s="243"/>
      <c r="K54" s="243"/>
      <c r="L54" s="243"/>
      <c r="M54" s="242">
        <f aca="true" t="shared" si="104" ref="M54:M62">+H54</f>
        <v>1720000</v>
      </c>
      <c r="N54" s="243"/>
      <c r="O54" s="243"/>
      <c r="P54" s="243"/>
      <c r="Q54" s="243"/>
      <c r="R54" s="243"/>
      <c r="S54" s="243"/>
      <c r="T54" s="243"/>
      <c r="U54" s="243"/>
      <c r="V54" s="135"/>
      <c r="X54" s="243"/>
      <c r="Y54" s="242"/>
      <c r="Z54" s="122"/>
      <c r="AA54" s="122"/>
      <c r="AB54" s="122"/>
      <c r="AC54" s="122"/>
      <c r="AD54" s="122"/>
      <c r="AE54" s="122"/>
      <c r="AG54" s="274"/>
      <c r="AH54" s="244"/>
      <c r="AN54" s="241"/>
      <c r="AQ54" s="248"/>
      <c r="AS54" s="247"/>
      <c r="AT54" s="247"/>
      <c r="AU54" s="318"/>
      <c r="AV54" s="319"/>
      <c r="AW54" s="320"/>
      <c r="BD54" s="445"/>
      <c r="BE54" s="241"/>
      <c r="BL54" s="256"/>
      <c r="BM54" s="256"/>
      <c r="BN54" s="256"/>
      <c r="BO54" s="255"/>
      <c r="BP54" s="124"/>
      <c r="BQ54" s="151"/>
      <c r="BR54" s="135"/>
      <c r="BS54" s="135"/>
      <c r="BT54" s="259"/>
      <c r="BU54" s="321"/>
      <c r="BV54" s="306"/>
      <c r="BY54" s="305"/>
      <c r="BZ54" s="256"/>
      <c r="CA54" s="258"/>
      <c r="CB54" s="258"/>
      <c r="CQ54" s="240"/>
      <c r="DA54" s="240"/>
      <c r="FD54" s="146"/>
      <c r="FM54" s="258"/>
    </row>
    <row r="55" spans="2:169" ht="12.75" customHeight="1" hidden="1">
      <c r="B55" s="120"/>
      <c r="C55" s="301">
        <v>3</v>
      </c>
      <c r="D55" s="241"/>
      <c r="E55" s="251" t="s">
        <v>1012</v>
      </c>
      <c r="F55" s="241" t="s">
        <v>1184</v>
      </c>
      <c r="G55" s="241"/>
      <c r="H55" s="242">
        <v>3882000</v>
      </c>
      <c r="I55" s="243"/>
      <c r="J55" s="243"/>
      <c r="K55" s="243"/>
      <c r="L55" s="243"/>
      <c r="M55" s="242">
        <f t="shared" si="104"/>
        <v>3882000</v>
      </c>
      <c r="N55" s="122"/>
      <c r="O55" s="243"/>
      <c r="P55" s="243"/>
      <c r="Q55" s="243"/>
      <c r="R55" s="243"/>
      <c r="S55" s="243"/>
      <c r="T55" s="243"/>
      <c r="U55" s="243"/>
      <c r="V55" s="135"/>
      <c r="X55" s="243"/>
      <c r="Y55" s="242"/>
      <c r="Z55" s="122"/>
      <c r="AA55" s="122"/>
      <c r="AB55" s="122"/>
      <c r="AC55" s="122"/>
      <c r="AD55" s="122"/>
      <c r="AE55" s="122"/>
      <c r="AG55" s="274"/>
      <c r="AH55" s="244"/>
      <c r="AN55" s="241"/>
      <c r="AQ55" s="248"/>
      <c r="AS55" s="247"/>
      <c r="AT55" s="247"/>
      <c r="AU55" s="318"/>
      <c r="AV55" s="319"/>
      <c r="AW55" s="320"/>
      <c r="BD55" s="445"/>
      <c r="BE55" s="241"/>
      <c r="BL55" s="256"/>
      <c r="BM55" s="256"/>
      <c r="BN55" s="256"/>
      <c r="BO55" s="255"/>
      <c r="BP55" s="124"/>
      <c r="BQ55" s="151"/>
      <c r="BR55" s="135"/>
      <c r="BS55" s="135"/>
      <c r="BT55" s="259"/>
      <c r="BU55" s="321"/>
      <c r="BV55" s="306"/>
      <c r="BY55" s="305"/>
      <c r="BZ55" s="256"/>
      <c r="CA55" s="258"/>
      <c r="CB55" s="258"/>
      <c r="CD55" s="141"/>
      <c r="CE55" s="141"/>
      <c r="CF55" s="141"/>
      <c r="CG55" s="281"/>
      <c r="CK55" s="258"/>
      <c r="CQ55" s="240"/>
      <c r="DA55" s="240"/>
      <c r="FD55" s="146"/>
      <c r="FM55" s="258"/>
    </row>
    <row r="56" spans="2:160" ht="12.75" customHeight="1" hidden="1">
      <c r="B56" s="120"/>
      <c r="C56" s="301">
        <v>4</v>
      </c>
      <c r="D56" s="241"/>
      <c r="E56" s="251" t="s">
        <v>1014</v>
      </c>
      <c r="F56" s="241" t="s">
        <v>409</v>
      </c>
      <c r="G56" s="241"/>
      <c r="H56" s="242">
        <v>1672163</v>
      </c>
      <c r="I56" s="243"/>
      <c r="J56" s="243"/>
      <c r="K56" s="243"/>
      <c r="L56" s="243"/>
      <c r="M56" s="242">
        <f t="shared" si="104"/>
        <v>1672163</v>
      </c>
      <c r="N56" s="243"/>
      <c r="O56" s="243"/>
      <c r="P56" s="243"/>
      <c r="Q56" s="243"/>
      <c r="R56" s="243"/>
      <c r="S56" s="243"/>
      <c r="T56" s="243"/>
      <c r="U56" s="243"/>
      <c r="V56" s="135"/>
      <c r="X56" s="243"/>
      <c r="Y56" s="242"/>
      <c r="Z56" s="122"/>
      <c r="AA56" s="122"/>
      <c r="AB56" s="122"/>
      <c r="AC56" s="122"/>
      <c r="AD56" s="122"/>
      <c r="AE56" s="122"/>
      <c r="AG56" s="274"/>
      <c r="AH56" s="244"/>
      <c r="AN56" s="241"/>
      <c r="AQ56" s="248"/>
      <c r="AS56" s="247"/>
      <c r="AT56" s="247"/>
      <c r="AU56" s="318"/>
      <c r="AV56" s="319"/>
      <c r="AW56" s="320"/>
      <c r="BD56" s="445"/>
      <c r="BE56" s="241"/>
      <c r="BL56" s="256"/>
      <c r="BM56" s="256"/>
      <c r="BN56" s="256"/>
      <c r="BO56" s="255"/>
      <c r="BP56" s="124"/>
      <c r="BQ56" s="151"/>
      <c r="BR56" s="135"/>
      <c r="BS56" s="135"/>
      <c r="BT56" s="259"/>
      <c r="BU56" s="321"/>
      <c r="BV56" s="306"/>
      <c r="BY56" s="305"/>
      <c r="BZ56" s="256"/>
      <c r="CA56" s="258"/>
      <c r="CB56" s="258"/>
      <c r="CQ56" s="240"/>
      <c r="DA56" s="240"/>
      <c r="FD56" s="146"/>
    </row>
    <row r="57" spans="2:160" ht="12.75" customHeight="1" hidden="1">
      <c r="B57" s="120"/>
      <c r="C57" s="301">
        <v>5</v>
      </c>
      <c r="D57" s="241"/>
      <c r="E57" s="251" t="s">
        <v>1013</v>
      </c>
      <c r="F57" s="241" t="s">
        <v>1206</v>
      </c>
      <c r="G57" s="241"/>
      <c r="H57" s="242">
        <v>2095358</v>
      </c>
      <c r="I57" s="243"/>
      <c r="J57" s="243"/>
      <c r="K57" s="243"/>
      <c r="L57" s="243"/>
      <c r="M57" s="242">
        <f t="shared" si="104"/>
        <v>2095358</v>
      </c>
      <c r="N57" s="243"/>
      <c r="O57" s="243"/>
      <c r="P57" s="243"/>
      <c r="Q57" s="243"/>
      <c r="R57" s="243"/>
      <c r="S57" s="243"/>
      <c r="T57" s="243"/>
      <c r="U57" s="243"/>
      <c r="V57" s="135"/>
      <c r="X57" s="243"/>
      <c r="Y57" s="242"/>
      <c r="Z57" s="122"/>
      <c r="AA57" s="122"/>
      <c r="AB57" s="122"/>
      <c r="AC57" s="122"/>
      <c r="AD57" s="122"/>
      <c r="AE57" s="122"/>
      <c r="AG57" s="274"/>
      <c r="AH57" s="244"/>
      <c r="AN57" s="241"/>
      <c r="AQ57" s="248"/>
      <c r="AS57" s="247"/>
      <c r="AT57" s="247"/>
      <c r="AU57" s="318"/>
      <c r="AV57" s="319"/>
      <c r="AW57" s="320"/>
      <c r="BD57" s="445"/>
      <c r="BE57" s="241"/>
      <c r="BL57" s="256"/>
      <c r="BM57" s="256"/>
      <c r="BN57" s="256"/>
      <c r="BO57" s="255"/>
      <c r="BP57" s="124"/>
      <c r="BQ57" s="151"/>
      <c r="BR57" s="135"/>
      <c r="BS57" s="135"/>
      <c r="BT57" s="259"/>
      <c r="BU57" s="321"/>
      <c r="BV57" s="306"/>
      <c r="BY57" s="305"/>
      <c r="BZ57" s="256"/>
      <c r="CA57" s="258"/>
      <c r="CB57" s="258"/>
      <c r="CQ57" s="240"/>
      <c r="DA57" s="240"/>
      <c r="FD57" s="146"/>
    </row>
    <row r="58" spans="2:160" ht="12.75" customHeight="1" hidden="1">
      <c r="B58" s="120"/>
      <c r="C58" s="301">
        <v>6</v>
      </c>
      <c r="D58" s="241"/>
      <c r="E58" s="251" t="s">
        <v>1023</v>
      </c>
      <c r="F58" s="241" t="s">
        <v>1030</v>
      </c>
      <c r="G58" s="241"/>
      <c r="H58" s="242">
        <v>1139680</v>
      </c>
      <c r="I58" s="243"/>
      <c r="J58" s="243"/>
      <c r="K58" s="243"/>
      <c r="L58" s="243"/>
      <c r="M58" s="242">
        <f t="shared" si="104"/>
        <v>1139680</v>
      </c>
      <c r="N58" s="243"/>
      <c r="O58" s="243"/>
      <c r="P58" s="243"/>
      <c r="Q58" s="243"/>
      <c r="R58" s="243"/>
      <c r="S58" s="243"/>
      <c r="T58" s="243"/>
      <c r="U58" s="243"/>
      <c r="V58" s="135"/>
      <c r="X58" s="243"/>
      <c r="Y58" s="242"/>
      <c r="Z58" s="122"/>
      <c r="AA58" s="122"/>
      <c r="AB58" s="122"/>
      <c r="AC58" s="122"/>
      <c r="AD58" s="122"/>
      <c r="AE58" s="122"/>
      <c r="AG58" s="274"/>
      <c r="AH58" s="244"/>
      <c r="AN58" s="241"/>
      <c r="AQ58" s="248"/>
      <c r="AS58" s="247"/>
      <c r="AT58" s="247"/>
      <c r="AU58" s="318"/>
      <c r="AV58" s="319"/>
      <c r="AW58" s="320"/>
      <c r="BD58" s="445"/>
      <c r="BE58" s="241"/>
      <c r="BL58" s="256"/>
      <c r="BM58" s="256"/>
      <c r="BN58" s="256"/>
      <c r="BO58" s="255"/>
      <c r="BP58" s="124"/>
      <c r="BQ58" s="151"/>
      <c r="BR58" s="135"/>
      <c r="BS58" s="135"/>
      <c r="BT58" s="259"/>
      <c r="BU58" s="321"/>
      <c r="BV58" s="306"/>
      <c r="BY58" s="305"/>
      <c r="BZ58" s="256"/>
      <c r="CA58" s="258"/>
      <c r="CB58" s="258"/>
      <c r="CQ58" s="240"/>
      <c r="DA58" s="240"/>
      <c r="FD58" s="146"/>
    </row>
    <row r="59" spans="2:160" ht="12.75" customHeight="1" hidden="1">
      <c r="B59" s="120"/>
      <c r="C59" s="301">
        <v>7</v>
      </c>
      <c r="D59" s="241"/>
      <c r="E59" s="251" t="s">
        <v>1028</v>
      </c>
      <c r="F59" s="241" t="s">
        <v>356</v>
      </c>
      <c r="G59" s="241"/>
      <c r="H59" s="242">
        <v>2000000</v>
      </c>
      <c r="I59" s="243"/>
      <c r="J59" s="243"/>
      <c r="K59" s="243"/>
      <c r="L59" s="243"/>
      <c r="M59" s="242">
        <f t="shared" si="104"/>
        <v>2000000</v>
      </c>
      <c r="N59" s="243"/>
      <c r="O59" s="243"/>
      <c r="P59" s="243"/>
      <c r="Q59" s="243"/>
      <c r="R59" s="243"/>
      <c r="S59" s="243"/>
      <c r="T59" s="243"/>
      <c r="U59" s="243"/>
      <c r="V59" s="135"/>
      <c r="X59" s="243"/>
      <c r="Y59" s="242"/>
      <c r="Z59" s="122"/>
      <c r="AA59" s="122"/>
      <c r="AB59" s="122"/>
      <c r="AC59" s="122"/>
      <c r="AD59" s="122"/>
      <c r="AE59" s="122"/>
      <c r="AG59" s="274"/>
      <c r="AH59" s="244"/>
      <c r="AN59" s="241"/>
      <c r="AQ59" s="248"/>
      <c r="AS59" s="247"/>
      <c r="AT59" s="247"/>
      <c r="AU59" s="318"/>
      <c r="AV59" s="319"/>
      <c r="AW59" s="320"/>
      <c r="BD59" s="445"/>
      <c r="BE59" s="241"/>
      <c r="BL59" s="256"/>
      <c r="BM59" s="256"/>
      <c r="BN59" s="256"/>
      <c r="BO59" s="255"/>
      <c r="BP59" s="124"/>
      <c r="BQ59" s="151"/>
      <c r="BR59" s="135"/>
      <c r="BS59" s="135"/>
      <c r="BT59" s="259"/>
      <c r="BU59" s="321"/>
      <c r="BV59" s="306"/>
      <c r="BY59" s="305"/>
      <c r="BZ59" s="256"/>
      <c r="CA59" s="258"/>
      <c r="CB59" s="258"/>
      <c r="CQ59" s="240"/>
      <c r="DA59" s="240"/>
      <c r="FD59" s="146"/>
    </row>
    <row r="60" spans="2:160" ht="12.75" customHeight="1" hidden="1">
      <c r="B60" s="120"/>
      <c r="C60" s="301">
        <v>8</v>
      </c>
      <c r="D60" s="241"/>
      <c r="E60" s="251" t="s">
        <v>1027</v>
      </c>
      <c r="F60" s="241" t="s">
        <v>1222</v>
      </c>
      <c r="G60" s="241"/>
      <c r="H60" s="242">
        <v>1800000</v>
      </c>
      <c r="I60" s="243"/>
      <c r="J60" s="243"/>
      <c r="K60" s="243"/>
      <c r="L60" s="243"/>
      <c r="M60" s="242">
        <f t="shared" si="104"/>
        <v>1800000</v>
      </c>
      <c r="N60" s="243"/>
      <c r="O60" s="243"/>
      <c r="P60" s="243"/>
      <c r="Q60" s="243"/>
      <c r="R60" s="243"/>
      <c r="S60" s="243"/>
      <c r="T60" s="243"/>
      <c r="U60" s="243"/>
      <c r="V60" s="135"/>
      <c r="X60" s="243"/>
      <c r="Y60" s="242"/>
      <c r="Z60" s="122"/>
      <c r="AA60" s="122"/>
      <c r="AB60" s="122"/>
      <c r="AC60" s="122"/>
      <c r="AD60" s="122"/>
      <c r="AE60" s="122"/>
      <c r="AG60" s="274"/>
      <c r="AH60" s="244"/>
      <c r="AN60" s="241"/>
      <c r="AQ60" s="248"/>
      <c r="AS60" s="247"/>
      <c r="AT60" s="247"/>
      <c r="AU60" s="318"/>
      <c r="AV60" s="319"/>
      <c r="AW60" s="320"/>
      <c r="BD60" s="445"/>
      <c r="BE60" s="241"/>
      <c r="BL60" s="256"/>
      <c r="BM60" s="256"/>
      <c r="BN60" s="256"/>
      <c r="BO60" s="255"/>
      <c r="BP60" s="124"/>
      <c r="BQ60" s="151"/>
      <c r="BR60" s="135"/>
      <c r="BS60" s="135"/>
      <c r="BT60" s="259"/>
      <c r="BU60" s="321"/>
      <c r="BV60" s="306"/>
      <c r="BY60" s="305"/>
      <c r="BZ60" s="256"/>
      <c r="CA60" s="258"/>
      <c r="CB60" s="258"/>
      <c r="CQ60" s="240"/>
      <c r="DA60" s="240"/>
      <c r="FD60" s="146"/>
    </row>
    <row r="61" spans="2:160" ht="12.75" customHeight="1" hidden="1">
      <c r="B61" s="120"/>
      <c r="C61" s="301">
        <v>9</v>
      </c>
      <c r="D61" s="241"/>
      <c r="E61" s="251" t="s">
        <v>1022</v>
      </c>
      <c r="F61" s="241" t="s">
        <v>1216</v>
      </c>
      <c r="G61" s="241"/>
      <c r="H61" s="242">
        <v>2137300</v>
      </c>
      <c r="I61" s="243"/>
      <c r="J61" s="243"/>
      <c r="K61" s="243"/>
      <c r="L61" s="243"/>
      <c r="M61" s="242">
        <f t="shared" si="104"/>
        <v>2137300</v>
      </c>
      <c r="N61" s="243"/>
      <c r="O61" s="243"/>
      <c r="P61" s="243"/>
      <c r="Q61" s="243"/>
      <c r="R61" s="243"/>
      <c r="S61" s="243"/>
      <c r="T61" s="243"/>
      <c r="U61" s="243"/>
      <c r="V61" s="135"/>
      <c r="X61" s="243"/>
      <c r="Y61" s="242"/>
      <c r="Z61" s="122"/>
      <c r="AA61" s="122"/>
      <c r="AB61" s="122"/>
      <c r="AC61" s="122"/>
      <c r="AD61" s="122"/>
      <c r="AE61" s="122"/>
      <c r="AG61" s="274"/>
      <c r="AH61" s="244"/>
      <c r="AN61" s="241"/>
      <c r="AQ61" s="248"/>
      <c r="AS61" s="247"/>
      <c r="AT61" s="247"/>
      <c r="AU61" s="318"/>
      <c r="AV61" s="319"/>
      <c r="AW61" s="320"/>
      <c r="BD61" s="445"/>
      <c r="BE61" s="241"/>
      <c r="BL61" s="256"/>
      <c r="BM61" s="256"/>
      <c r="BN61" s="256"/>
      <c r="BO61" s="255"/>
      <c r="BP61" s="124"/>
      <c r="BQ61" s="151"/>
      <c r="BR61" s="135"/>
      <c r="BS61" s="135"/>
      <c r="BT61" s="259"/>
      <c r="BU61" s="321"/>
      <c r="BV61" s="306"/>
      <c r="BY61" s="305"/>
      <c r="BZ61" s="256"/>
      <c r="CA61" s="258"/>
      <c r="CB61" s="258"/>
      <c r="CQ61" s="240"/>
      <c r="DA61" s="240"/>
      <c r="FD61" s="146"/>
    </row>
    <row r="62" spans="2:160" ht="12.75" customHeight="1" hidden="1">
      <c r="B62" s="120"/>
      <c r="C62" s="301">
        <v>10</v>
      </c>
      <c r="D62" s="241"/>
      <c r="E62" s="251" t="s">
        <v>1018</v>
      </c>
      <c r="F62" s="241" t="s">
        <v>1029</v>
      </c>
      <c r="G62" s="241"/>
      <c r="H62" s="242">
        <v>500000</v>
      </c>
      <c r="I62" s="243"/>
      <c r="J62" s="243"/>
      <c r="K62" s="243"/>
      <c r="L62" s="243"/>
      <c r="M62" s="242">
        <f t="shared" si="104"/>
        <v>500000</v>
      </c>
      <c r="N62" s="243"/>
      <c r="O62" s="243"/>
      <c r="P62" s="243"/>
      <c r="Q62" s="243"/>
      <c r="R62" s="243"/>
      <c r="S62" s="243"/>
      <c r="T62" s="243"/>
      <c r="U62" s="243"/>
      <c r="V62" s="135"/>
      <c r="X62" s="243"/>
      <c r="Y62" s="242"/>
      <c r="Z62" s="122"/>
      <c r="AA62" s="122"/>
      <c r="AB62" s="122"/>
      <c r="AC62" s="122"/>
      <c r="AD62" s="122"/>
      <c r="AE62" s="122"/>
      <c r="AG62" s="274"/>
      <c r="AH62" s="244"/>
      <c r="AN62" s="241"/>
      <c r="AQ62" s="248"/>
      <c r="AS62" s="247"/>
      <c r="AT62" s="247"/>
      <c r="AU62" s="318"/>
      <c r="AV62" s="319"/>
      <c r="AW62" s="320"/>
      <c r="BD62" s="445"/>
      <c r="BE62" s="241"/>
      <c r="BL62" s="256"/>
      <c r="BM62" s="256"/>
      <c r="BN62" s="256"/>
      <c r="BO62" s="255"/>
      <c r="BP62" s="124"/>
      <c r="BQ62" s="151"/>
      <c r="BR62" s="135"/>
      <c r="BS62" s="135"/>
      <c r="BT62" s="259"/>
      <c r="BU62" s="321"/>
      <c r="BV62" s="306"/>
      <c r="BY62" s="305"/>
      <c r="BZ62" s="256"/>
      <c r="CA62" s="258"/>
      <c r="CB62" s="258"/>
      <c r="CQ62" s="240"/>
      <c r="DA62" s="240"/>
      <c r="FD62" s="146"/>
    </row>
    <row r="63" spans="2:160" ht="12.75" customHeight="1" hidden="1">
      <c r="B63" s="120"/>
      <c r="C63" s="301"/>
      <c r="D63" s="241"/>
      <c r="E63" s="251"/>
      <c r="F63" s="241"/>
      <c r="G63" s="241"/>
      <c r="H63" s="242">
        <f>SUM(H53:H62)</f>
        <v>18211781</v>
      </c>
      <c r="I63" s="243"/>
      <c r="J63" s="243"/>
      <c r="K63" s="243"/>
      <c r="L63" s="243"/>
      <c r="M63" s="243"/>
      <c r="N63" s="243"/>
      <c r="O63" s="243"/>
      <c r="P63" s="243"/>
      <c r="Q63" s="243"/>
      <c r="R63" s="243"/>
      <c r="S63" s="243"/>
      <c r="T63" s="243"/>
      <c r="U63" s="243"/>
      <c r="V63" s="135"/>
      <c r="X63" s="243"/>
      <c r="Y63" s="243"/>
      <c r="Z63" s="122"/>
      <c r="AA63" s="122"/>
      <c r="AB63" s="122"/>
      <c r="AC63" s="122"/>
      <c r="AD63" s="122"/>
      <c r="AE63" s="122"/>
      <c r="AG63" s="274"/>
      <c r="AH63" s="244"/>
      <c r="AN63" s="241"/>
      <c r="AQ63" s="248"/>
      <c r="AS63" s="247"/>
      <c r="AT63" s="247"/>
      <c r="AU63" s="318"/>
      <c r="AV63" s="319"/>
      <c r="AW63" s="320"/>
      <c r="BD63" s="445"/>
      <c r="BE63" s="241"/>
      <c r="BL63" s="256"/>
      <c r="BM63" s="256"/>
      <c r="BN63" s="256"/>
      <c r="BO63" s="255"/>
      <c r="BP63" s="124"/>
      <c r="BQ63" s="151"/>
      <c r="BR63" s="135"/>
      <c r="BS63" s="135"/>
      <c r="BT63" s="259"/>
      <c r="BU63" s="321"/>
      <c r="BV63" s="306"/>
      <c r="BY63" s="305"/>
      <c r="BZ63" s="256"/>
      <c r="CA63" s="258"/>
      <c r="CB63" s="258"/>
      <c r="CQ63" s="240"/>
      <c r="DA63" s="240"/>
      <c r="FD63" s="146"/>
    </row>
    <row r="64" spans="1:174" s="294" customFormat="1" ht="13.5" customHeight="1" hidden="1">
      <c r="A64" s="600"/>
      <c r="B64" s="184"/>
      <c r="C64" s="323"/>
      <c r="D64" s="284"/>
      <c r="E64" s="286"/>
      <c r="F64" s="286"/>
      <c r="G64" s="286"/>
      <c r="H64" s="287"/>
      <c r="I64" s="288"/>
      <c r="J64" s="288"/>
      <c r="K64" s="288"/>
      <c r="L64" s="288"/>
      <c r="M64" s="288"/>
      <c r="N64" s="288"/>
      <c r="O64" s="288"/>
      <c r="P64" s="288"/>
      <c r="Q64" s="288"/>
      <c r="R64" s="288"/>
      <c r="S64" s="288"/>
      <c r="T64" s="288"/>
      <c r="U64" s="288"/>
      <c r="V64" s="288"/>
      <c r="W64" s="288"/>
      <c r="X64" s="288"/>
      <c r="Y64" s="330">
        <f>SUM(Y35:Y50)</f>
        <v>48255120</v>
      </c>
      <c r="Z64" s="288"/>
      <c r="AA64" s="288"/>
      <c r="AB64" s="288"/>
      <c r="AC64" s="288"/>
      <c r="AD64" s="288"/>
      <c r="AE64" s="288"/>
      <c r="AF64" s="289"/>
      <c r="AG64" s="288"/>
      <c r="AH64" s="290"/>
      <c r="AI64" s="291"/>
      <c r="AJ64" s="289"/>
      <c r="AK64" s="291"/>
      <c r="AL64" s="290"/>
      <c r="AM64" s="284"/>
      <c r="AN64" s="284"/>
      <c r="AO64" s="284"/>
      <c r="AP64" s="284"/>
      <c r="AQ64" s="284"/>
      <c r="AR64" s="284"/>
      <c r="AS64" s="284"/>
      <c r="AT64" s="284"/>
      <c r="AU64" s="284"/>
      <c r="AV64" s="284"/>
      <c r="AW64" s="291"/>
      <c r="AX64" s="291"/>
      <c r="AY64" s="292"/>
      <c r="AZ64" s="292"/>
      <c r="BA64" s="291"/>
      <c r="BB64" s="291"/>
      <c r="BC64" s="446"/>
      <c r="BD64" s="446"/>
      <c r="BE64" s="284"/>
      <c r="BF64" s="293"/>
      <c r="BG64" s="293"/>
      <c r="BH64" s="288"/>
      <c r="BQ64" s="296">
        <f>SUM(BQ53:BQ63)</f>
        <v>0</v>
      </c>
      <c r="BR64" s="296"/>
      <c r="BS64" s="296"/>
      <c r="CC64" s="297"/>
      <c r="CD64" s="296"/>
      <c r="CE64" s="296"/>
      <c r="CF64" s="296"/>
      <c r="CG64" s="284"/>
      <c r="CH64" s="298"/>
      <c r="CL64" s="296"/>
      <c r="CN64" s="296"/>
      <c r="CQ64" s="284"/>
      <c r="DA64" s="284"/>
      <c r="FD64" s="299">
        <f>SUM(FD35:FD52)</f>
        <v>89524956.44</v>
      </c>
      <c r="FE64" s="299"/>
      <c r="FF64" s="299"/>
      <c r="FJ64" s="424"/>
      <c r="FR64" s="296"/>
    </row>
    <row r="65" spans="2:174" ht="12.75" customHeight="1">
      <c r="B65" s="322"/>
      <c r="C65" s="300"/>
      <c r="E65" s="301" t="s">
        <v>491</v>
      </c>
      <c r="F65" s="241" t="s">
        <v>675</v>
      </c>
      <c r="G65" s="241"/>
      <c r="H65" s="242"/>
      <c r="I65" s="243"/>
      <c r="J65" s="243"/>
      <c r="K65" s="243"/>
      <c r="L65" s="243"/>
      <c r="M65" s="243"/>
      <c r="N65" s="243"/>
      <c r="O65" s="243"/>
      <c r="P65" s="243"/>
      <c r="Q65" s="243"/>
      <c r="R65" s="243"/>
      <c r="S65" s="243"/>
      <c r="T65" s="243"/>
      <c r="U65" s="372">
        <f aca="true" t="shared" si="105" ref="U65:U71">+FH65</f>
        <v>595534.88</v>
      </c>
      <c r="V65" s="324">
        <v>573116.16</v>
      </c>
      <c r="X65" s="243"/>
      <c r="Y65" s="243">
        <f aca="true" t="shared" si="106" ref="Y65:Y71">+V65</f>
        <v>573116.16</v>
      </c>
      <c r="Z65" s="122">
        <f t="shared" si="70"/>
        <v>85967.424</v>
      </c>
      <c r="AA65" s="122">
        <f aca="true" t="shared" si="107" ref="AA65:AA71">+Y65*0.5</f>
        <v>286558.08</v>
      </c>
      <c r="AB65" s="122">
        <f aca="true" t="shared" si="108" ref="AB65:AB71">+Y65*0.35</f>
        <v>200590.656</v>
      </c>
      <c r="AC65" s="122">
        <f aca="true" t="shared" si="109" ref="AC65:AC71">+Y65*0.85</f>
        <v>487148.73600000003</v>
      </c>
      <c r="AD65" s="243"/>
      <c r="AE65" s="243"/>
      <c r="AG65" s="243"/>
      <c r="AY65" s="250" t="s">
        <v>129</v>
      </c>
      <c r="AZ65" s="250" t="s">
        <v>130</v>
      </c>
      <c r="BA65" s="624" t="s">
        <v>128</v>
      </c>
      <c r="BB65" s="624"/>
      <c r="BC65" s="444">
        <v>162</v>
      </c>
      <c r="BD65" s="445">
        <v>38762</v>
      </c>
      <c r="BN65" s="255"/>
      <c r="BO65" s="255"/>
      <c r="BP65" s="255"/>
      <c r="BQ65" s="279">
        <v>202807.89</v>
      </c>
      <c r="BR65" s="258">
        <f>BQ65*0.85</f>
        <v>172386.7065</v>
      </c>
      <c r="BS65" s="258">
        <f>+BQ65*0.15</f>
        <v>30421.1835</v>
      </c>
      <c r="BT65" s="325">
        <v>162</v>
      </c>
      <c r="BU65" s="326">
        <v>38762</v>
      </c>
      <c r="BY65" s="305" t="s">
        <v>493</v>
      </c>
      <c r="BZ65" s="256">
        <v>38782</v>
      </c>
      <c r="CA65" s="258">
        <f>BQ65</f>
        <v>202807.89</v>
      </c>
      <c r="CD65" s="279">
        <v>69590.33</v>
      </c>
      <c r="CE65" s="143">
        <f>+CD65*0.85</f>
        <v>59151.7805</v>
      </c>
      <c r="CF65" s="143">
        <f>+CD65*0.15</f>
        <v>10438.5495</v>
      </c>
      <c r="CG65" s="259">
        <v>231</v>
      </c>
      <c r="CH65" s="256">
        <v>38993</v>
      </c>
      <c r="CI65" s="261" t="s">
        <v>619</v>
      </c>
      <c r="CJ65" s="178">
        <v>39009</v>
      </c>
      <c r="CK65" s="258">
        <f>59151.78+10438.55</f>
        <v>69590.33</v>
      </c>
      <c r="CL65" s="258">
        <v>167709.12</v>
      </c>
      <c r="CM65" s="256">
        <v>39164</v>
      </c>
      <c r="CN65" s="258">
        <v>84685.43</v>
      </c>
      <c r="CO65" s="327">
        <f>+CN65*0.85</f>
        <v>71982.61549999999</v>
      </c>
      <c r="CP65" s="327">
        <f>+CN65*0.15</f>
        <v>12702.814499999999</v>
      </c>
      <c r="CQ65" s="240">
        <v>185</v>
      </c>
      <c r="CR65" s="244">
        <v>39252</v>
      </c>
      <c r="CS65" s="305" t="s">
        <v>743</v>
      </c>
      <c r="CT65" s="256">
        <v>39266</v>
      </c>
      <c r="CU65" s="258">
        <f>+CN65</f>
        <v>84685.43</v>
      </c>
      <c r="CV65" s="258">
        <v>84218.47</v>
      </c>
      <c r="CW65" s="256">
        <v>39338</v>
      </c>
      <c r="CX65" s="279">
        <v>42526.48</v>
      </c>
      <c r="CY65" s="327">
        <f>+CX65*0.85</f>
        <v>36147.508</v>
      </c>
      <c r="CZ65" s="327">
        <f>+CX65*0.15</f>
        <v>6378.972000000001</v>
      </c>
      <c r="DA65" s="179">
        <v>35</v>
      </c>
      <c r="DB65" s="256">
        <v>39489</v>
      </c>
      <c r="DC65" s="350" t="s">
        <v>1007</v>
      </c>
      <c r="DD65" s="256">
        <v>39506</v>
      </c>
      <c r="DE65" s="258">
        <f>CX65</f>
        <v>42526.48</v>
      </c>
      <c r="DF65" s="258">
        <v>63360</v>
      </c>
      <c r="DG65" s="256">
        <v>39520</v>
      </c>
      <c r="DH65" s="279">
        <v>31993.9</v>
      </c>
      <c r="DI65" s="258">
        <f>+DH65*0.85</f>
        <v>27194.815000000002</v>
      </c>
      <c r="DJ65" s="258">
        <f>+DH65*0.15</f>
        <v>4799.085</v>
      </c>
      <c r="DK65" s="271">
        <v>174</v>
      </c>
      <c r="DL65" s="256">
        <v>39583</v>
      </c>
      <c r="DM65" s="305" t="s">
        <v>441</v>
      </c>
      <c r="DN65" s="256">
        <v>39622</v>
      </c>
      <c r="DO65" s="258">
        <f>+DH65</f>
        <v>31993.9</v>
      </c>
      <c r="DP65" s="258">
        <v>280247.29</v>
      </c>
      <c r="DQ65" s="258"/>
      <c r="DR65" s="258">
        <v>141512.13</v>
      </c>
      <c r="DS65" s="258">
        <f>+DR65*0.85</f>
        <v>120285.3105</v>
      </c>
      <c r="DT65" s="258">
        <f>+DR65*0.15</f>
        <v>21226.8195</v>
      </c>
      <c r="DU65" s="271">
        <v>176</v>
      </c>
      <c r="DV65" s="256">
        <v>39905</v>
      </c>
      <c r="DW65" s="180" t="s">
        <v>411</v>
      </c>
      <c r="DX65" s="256">
        <v>39918</v>
      </c>
      <c r="DY65" s="258">
        <v>141512.14</v>
      </c>
      <c r="DZ65" s="258"/>
      <c r="EA65" s="258"/>
      <c r="EB65" s="258"/>
      <c r="EC65" s="258"/>
      <c r="ED65" s="258"/>
      <c r="EE65" s="258"/>
      <c r="EF65" s="258"/>
      <c r="EG65" s="258"/>
      <c r="EH65" s="258"/>
      <c r="EI65" s="258"/>
      <c r="EJ65" s="258"/>
      <c r="EK65" s="258"/>
      <c r="EL65" s="258"/>
      <c r="EM65" s="258"/>
      <c r="EN65" s="258"/>
      <c r="EO65" s="258"/>
      <c r="EP65" s="258"/>
      <c r="EQ65" s="258"/>
      <c r="ER65" s="258"/>
      <c r="ES65" s="258"/>
      <c r="ET65" s="258"/>
      <c r="EU65" s="258"/>
      <c r="EV65" s="258"/>
      <c r="EW65" s="258"/>
      <c r="EX65" s="258"/>
      <c r="EY65" s="258"/>
      <c r="EZ65" s="258"/>
      <c r="FA65" s="258"/>
      <c r="FB65" s="258"/>
      <c r="FC65" s="258"/>
      <c r="FD65" s="145">
        <f>CA65+CK65+CU65+DE65+DO65</f>
        <v>431604.03</v>
      </c>
      <c r="FE65" s="388">
        <f aca="true" t="shared" si="110" ref="FE65:FE71">CK65+CU65+DE65+DO65+DY65+EI65+ES65+FC65+GJ65</f>
        <v>370308.28</v>
      </c>
      <c r="FF65" s="159">
        <f aca="true" t="shared" si="111" ref="FF65:FF71">Y65*0.3</f>
        <v>171934.848</v>
      </c>
      <c r="FG65" s="147">
        <f aca="true" t="shared" si="112" ref="FG65:FG71">+V65</f>
        <v>573116.16</v>
      </c>
      <c r="FH65" s="147">
        <f aca="true" t="shared" si="113" ref="FH65:FH71">CL65+CB65+DF65+DP65+CV65+DZ65+EJ65+ET65</f>
        <v>595534.88</v>
      </c>
      <c r="FI65" s="145">
        <f aca="true" t="shared" si="114" ref="FI65:FI71">FG65-FH65</f>
        <v>-22418.719999999972</v>
      </c>
      <c r="FJ65" s="421">
        <f aca="true" t="shared" si="115" ref="FJ65:FJ71">FH65/FG65</f>
        <v>1.0391172358497096</v>
      </c>
      <c r="FK65" s="147">
        <f aca="true" t="shared" si="116" ref="FK65:FK71">Y65</f>
        <v>573116.16</v>
      </c>
      <c r="FL65" s="147">
        <f aca="true" t="shared" si="117" ref="FL65:FL71">BQ65</f>
        <v>202807.89</v>
      </c>
      <c r="FM65" s="147">
        <f aca="true" t="shared" si="118" ref="FM65:FM71">+CX65+CN65+CD65+DH65+DR65</f>
        <v>370308.27</v>
      </c>
      <c r="FN65" s="401">
        <f aca="true" t="shared" si="119" ref="FN65:FN71">+FO65/FK65</f>
        <v>1</v>
      </c>
      <c r="FO65" s="135">
        <f aca="true" t="shared" si="120" ref="FO65:FO71">+DH65+CX65+CN65+CD65+BQ65+DR65+EB65+EL65</f>
        <v>573116.16</v>
      </c>
      <c r="FP65" s="147">
        <f aca="true" t="shared" si="121" ref="FP65:FP71">FK65-FO65</f>
        <v>0</v>
      </c>
      <c r="FR65" s="117">
        <f aca="true" t="shared" si="122" ref="FR65:FR71">+V65-FH65</f>
        <v>-22418.719999999972</v>
      </c>
    </row>
    <row r="66" spans="2:174" ht="12.75" customHeight="1">
      <c r="B66" s="322"/>
      <c r="C66" s="300"/>
      <c r="E66" s="301"/>
      <c r="F66" s="241" t="s">
        <v>360</v>
      </c>
      <c r="G66" s="241"/>
      <c r="H66" s="242"/>
      <c r="I66" s="243"/>
      <c r="J66" s="243"/>
      <c r="K66" s="243"/>
      <c r="L66" s="243"/>
      <c r="M66" s="243"/>
      <c r="N66" s="243"/>
      <c r="O66" s="243"/>
      <c r="P66" s="243"/>
      <c r="Q66" s="243"/>
      <c r="R66" s="243"/>
      <c r="S66" s="243"/>
      <c r="T66" s="243"/>
      <c r="U66" s="372">
        <f t="shared" si="105"/>
        <v>208800</v>
      </c>
      <c r="V66" s="324">
        <v>208800</v>
      </c>
      <c r="X66" s="243"/>
      <c r="Y66" s="243">
        <f t="shared" si="106"/>
        <v>208800</v>
      </c>
      <c r="Z66" s="122">
        <f t="shared" si="70"/>
        <v>31320</v>
      </c>
      <c r="AA66" s="122">
        <f t="shared" si="107"/>
        <v>104400</v>
      </c>
      <c r="AB66" s="122">
        <f t="shared" si="108"/>
        <v>73080</v>
      </c>
      <c r="AC66" s="122">
        <f t="shared" si="109"/>
        <v>177480</v>
      </c>
      <c r="AD66" s="243"/>
      <c r="AE66" s="243"/>
      <c r="AG66" s="243"/>
      <c r="BA66" s="624" t="s">
        <v>128</v>
      </c>
      <c r="BB66" s="624"/>
      <c r="BC66" s="484">
        <v>284</v>
      </c>
      <c r="BD66" s="445">
        <v>39939</v>
      </c>
      <c r="BE66" s="489" t="s">
        <v>495</v>
      </c>
      <c r="BN66" s="255"/>
      <c r="BO66" s="255"/>
      <c r="BP66" s="255"/>
      <c r="BQ66" s="258">
        <v>0</v>
      </c>
      <c r="BT66" s="325"/>
      <c r="BU66" s="326"/>
      <c r="BY66" s="305"/>
      <c r="BZ66" s="256"/>
      <c r="CA66" s="258"/>
      <c r="CB66" s="258">
        <v>208800</v>
      </c>
      <c r="CD66" s="279">
        <v>208800</v>
      </c>
      <c r="CE66" s="143">
        <f>+CD66*0.85</f>
        <v>177480</v>
      </c>
      <c r="CF66" s="143">
        <f>+CD66*0.15</f>
        <v>31320</v>
      </c>
      <c r="CG66" s="240">
        <v>284</v>
      </c>
      <c r="CH66" s="256">
        <v>39939</v>
      </c>
      <c r="CI66" s="305" t="s">
        <v>366</v>
      </c>
      <c r="CJ66" s="178">
        <v>39960</v>
      </c>
      <c r="CK66" s="258">
        <f>+CD66</f>
        <v>208800</v>
      </c>
      <c r="CM66" s="256"/>
      <c r="CO66" s="327"/>
      <c r="CP66" s="327"/>
      <c r="CQ66" s="240"/>
      <c r="CR66" s="244"/>
      <c r="CS66" s="305"/>
      <c r="CT66" s="256"/>
      <c r="CU66" s="258"/>
      <c r="CV66" s="258"/>
      <c r="CW66" s="256"/>
      <c r="CX66" s="258"/>
      <c r="CY66" s="327"/>
      <c r="CZ66" s="327"/>
      <c r="DA66" s="179"/>
      <c r="DB66" s="256"/>
      <c r="DC66" s="350"/>
      <c r="DD66" s="256"/>
      <c r="DE66" s="258"/>
      <c r="DF66" s="258"/>
      <c r="DG66" s="256"/>
      <c r="DH66" s="258"/>
      <c r="DI66" s="258"/>
      <c r="DJ66" s="258"/>
      <c r="DK66" s="271"/>
      <c r="DL66" s="256"/>
      <c r="DM66" s="344"/>
      <c r="DN66" s="256"/>
      <c r="DO66" s="258"/>
      <c r="DP66" s="258"/>
      <c r="DQ66" s="258"/>
      <c r="DR66" s="258"/>
      <c r="DS66" s="258"/>
      <c r="DT66" s="258"/>
      <c r="DU66" s="258"/>
      <c r="DV66" s="256"/>
      <c r="DW66" s="258"/>
      <c r="DX66" s="258"/>
      <c r="DY66" s="258"/>
      <c r="DZ66" s="258"/>
      <c r="EA66" s="258"/>
      <c r="EB66" s="258"/>
      <c r="EC66" s="258"/>
      <c r="ED66" s="258"/>
      <c r="EE66" s="258"/>
      <c r="EF66" s="258"/>
      <c r="EG66" s="258"/>
      <c r="EH66" s="258"/>
      <c r="EI66" s="258"/>
      <c r="EJ66" s="258"/>
      <c r="EK66" s="258"/>
      <c r="EL66" s="258"/>
      <c r="EM66" s="258"/>
      <c r="EN66" s="258"/>
      <c r="EO66" s="258"/>
      <c r="EP66" s="258"/>
      <c r="EQ66" s="258"/>
      <c r="ER66" s="258"/>
      <c r="ES66" s="258"/>
      <c r="ET66" s="258"/>
      <c r="EU66" s="258"/>
      <c r="EV66" s="258"/>
      <c r="EW66" s="258"/>
      <c r="EX66" s="258"/>
      <c r="EY66" s="258"/>
      <c r="EZ66" s="258"/>
      <c r="FA66" s="258"/>
      <c r="FB66" s="258"/>
      <c r="FC66" s="258"/>
      <c r="FD66" s="145"/>
      <c r="FE66" s="388">
        <f t="shared" si="110"/>
        <v>208800</v>
      </c>
      <c r="FF66" s="159">
        <f t="shared" si="111"/>
        <v>62640</v>
      </c>
      <c r="FG66" s="147">
        <f t="shared" si="112"/>
        <v>208800</v>
      </c>
      <c r="FH66" s="147">
        <f t="shared" si="113"/>
        <v>208800</v>
      </c>
      <c r="FI66" s="145">
        <f t="shared" si="114"/>
        <v>0</v>
      </c>
      <c r="FJ66" s="421">
        <f t="shared" si="115"/>
        <v>1</v>
      </c>
      <c r="FK66" s="147">
        <f t="shared" si="116"/>
        <v>208800</v>
      </c>
      <c r="FL66" s="147">
        <f t="shared" si="117"/>
        <v>0</v>
      </c>
      <c r="FM66" s="147">
        <f t="shared" si="118"/>
        <v>208800</v>
      </c>
      <c r="FN66" s="401">
        <f t="shared" si="119"/>
        <v>1</v>
      </c>
      <c r="FO66" s="135">
        <f t="shared" si="120"/>
        <v>208800</v>
      </c>
      <c r="FP66" s="147">
        <f t="shared" si="121"/>
        <v>0</v>
      </c>
      <c r="FQ66" s="258"/>
      <c r="FR66" s="117">
        <f t="shared" si="122"/>
        <v>0</v>
      </c>
    </row>
    <row r="67" spans="2:174" ht="12.75" customHeight="1">
      <c r="B67" s="322"/>
      <c r="C67" s="300"/>
      <c r="E67" s="241"/>
      <c r="F67" s="241" t="s">
        <v>492</v>
      </c>
      <c r="G67" s="241"/>
      <c r="H67" s="242"/>
      <c r="I67" s="243"/>
      <c r="J67" s="243"/>
      <c r="K67" s="243"/>
      <c r="L67" s="243"/>
      <c r="M67" s="243"/>
      <c r="N67" s="243"/>
      <c r="O67" s="243"/>
      <c r="P67" s="243"/>
      <c r="Q67" s="243"/>
      <c r="R67" s="243"/>
      <c r="S67" s="243"/>
      <c r="T67" s="243"/>
      <c r="U67" s="372">
        <f t="shared" si="105"/>
        <v>581262.3200000001</v>
      </c>
      <c r="V67" s="324">
        <v>727649.62</v>
      </c>
      <c r="X67" s="243"/>
      <c r="Y67" s="243">
        <f t="shared" si="106"/>
        <v>727649.62</v>
      </c>
      <c r="Z67" s="122">
        <f t="shared" si="70"/>
        <v>109147.443</v>
      </c>
      <c r="AA67" s="122">
        <f t="shared" si="107"/>
        <v>363824.81</v>
      </c>
      <c r="AB67" s="122">
        <f t="shared" si="108"/>
        <v>254677.36699999997</v>
      </c>
      <c r="AC67" s="122">
        <f t="shared" si="109"/>
        <v>618502.177</v>
      </c>
      <c r="AD67" s="243"/>
      <c r="AE67" s="243"/>
      <c r="AG67" s="243"/>
      <c r="AY67" s="250" t="s">
        <v>800</v>
      </c>
      <c r="AZ67" s="348"/>
      <c r="BB67" s="249" t="s">
        <v>801</v>
      </c>
      <c r="BC67" s="444">
        <v>162</v>
      </c>
      <c r="BD67" s="445">
        <v>38762</v>
      </c>
      <c r="BN67" s="255"/>
      <c r="BO67" s="255"/>
      <c r="BP67" s="258"/>
      <c r="BQ67" s="279">
        <v>218294.89</v>
      </c>
      <c r="BR67" s="258">
        <f>BQ67*0.85</f>
        <v>185550.6565</v>
      </c>
      <c r="BS67" s="258">
        <f>+BQ67*0.15</f>
        <v>32744.233500000002</v>
      </c>
      <c r="BT67" s="325">
        <v>253</v>
      </c>
      <c r="BU67" s="326">
        <v>39027</v>
      </c>
      <c r="BY67" s="305" t="s">
        <v>524</v>
      </c>
      <c r="BZ67" s="256">
        <v>39042</v>
      </c>
      <c r="CA67" s="258">
        <f>185550.66+32744.23</f>
        <v>218294.89</v>
      </c>
      <c r="CB67" s="258">
        <v>283876.03</v>
      </c>
      <c r="CC67" s="265">
        <v>39434</v>
      </c>
      <c r="CD67" s="258">
        <f>+V67*0.5</f>
        <v>363824.81</v>
      </c>
      <c r="CE67" s="143">
        <f>+CD67*0.85</f>
        <v>309251.0885</v>
      </c>
      <c r="CF67" s="143">
        <f>+CD67*0.15</f>
        <v>54573.7215</v>
      </c>
      <c r="CG67" s="240">
        <v>21</v>
      </c>
      <c r="CH67" s="256">
        <v>39469</v>
      </c>
      <c r="CI67" s="305" t="s">
        <v>802</v>
      </c>
      <c r="CJ67" s="178">
        <v>39491</v>
      </c>
      <c r="CK67" s="258">
        <f>+CD67</f>
        <v>363824.81</v>
      </c>
      <c r="CL67" s="407">
        <v>297386.29</v>
      </c>
      <c r="CM67" s="256">
        <v>39798</v>
      </c>
      <c r="CN67" s="258">
        <f>+V67*0.2</f>
        <v>145529.924</v>
      </c>
      <c r="CO67" s="306" t="s">
        <v>1237</v>
      </c>
      <c r="CQ67" s="240"/>
      <c r="DA67" s="240"/>
      <c r="DV67" s="256"/>
      <c r="FD67" s="145">
        <f>CA67+CK67+CU67+DE67+DO67</f>
        <v>582119.7</v>
      </c>
      <c r="FE67" s="388">
        <f t="shared" si="110"/>
        <v>363824.81</v>
      </c>
      <c r="FF67" s="159">
        <f t="shared" si="111"/>
        <v>218294.886</v>
      </c>
      <c r="FG67" s="147">
        <f t="shared" si="112"/>
        <v>727649.62</v>
      </c>
      <c r="FH67" s="147">
        <f t="shared" si="113"/>
        <v>581262.3200000001</v>
      </c>
      <c r="FI67" s="145">
        <f t="shared" si="114"/>
        <v>146387.29999999993</v>
      </c>
      <c r="FJ67" s="421">
        <f t="shared" si="115"/>
        <v>0.798821718617815</v>
      </c>
      <c r="FK67" s="147">
        <f t="shared" si="116"/>
        <v>727649.62</v>
      </c>
      <c r="FL67" s="147">
        <f t="shared" si="117"/>
        <v>218294.89</v>
      </c>
      <c r="FM67" s="147">
        <f t="shared" si="118"/>
        <v>509354.734</v>
      </c>
      <c r="FN67" s="401">
        <f t="shared" si="119"/>
        <v>1.0000000054971514</v>
      </c>
      <c r="FO67" s="135">
        <f t="shared" si="120"/>
        <v>727649.6240000001</v>
      </c>
      <c r="FP67" s="147">
        <f t="shared" si="121"/>
        <v>-0.004000000073574483</v>
      </c>
      <c r="FR67" s="117">
        <f t="shared" si="122"/>
        <v>146387.29999999993</v>
      </c>
    </row>
    <row r="68" spans="2:174" ht="12.75" customHeight="1">
      <c r="B68" s="322"/>
      <c r="C68" s="300"/>
      <c r="E68" s="241"/>
      <c r="F68" s="241" t="s">
        <v>669</v>
      </c>
      <c r="G68" s="241"/>
      <c r="H68" s="242"/>
      <c r="I68" s="243"/>
      <c r="J68" s="243"/>
      <c r="K68" s="243"/>
      <c r="L68" s="243"/>
      <c r="M68" s="243"/>
      <c r="N68" s="243"/>
      <c r="O68" s="243"/>
      <c r="P68" s="243"/>
      <c r="Q68" s="243"/>
      <c r="R68" s="243"/>
      <c r="S68" s="243"/>
      <c r="T68" s="243"/>
      <c r="U68" s="372">
        <f t="shared" si="105"/>
        <v>264230.16000000003</v>
      </c>
      <c r="V68" s="328">
        <v>264230.16</v>
      </c>
      <c r="X68" s="243"/>
      <c r="Y68" s="243">
        <f t="shared" si="106"/>
        <v>264230.16</v>
      </c>
      <c r="Z68" s="122">
        <f t="shared" si="70"/>
        <v>39634.524</v>
      </c>
      <c r="AA68" s="122">
        <f t="shared" si="107"/>
        <v>132115.08</v>
      </c>
      <c r="AB68" s="122">
        <f t="shared" si="108"/>
        <v>92480.55599999998</v>
      </c>
      <c r="AC68" s="122">
        <f t="shared" si="109"/>
        <v>224595.63599999997</v>
      </c>
      <c r="AD68" s="243"/>
      <c r="AE68" s="243"/>
      <c r="AG68" s="243"/>
      <c r="AY68" s="176" t="s">
        <v>654</v>
      </c>
      <c r="AZ68" s="348" t="s">
        <v>1337</v>
      </c>
      <c r="BA68" s="246" t="s">
        <v>1337</v>
      </c>
      <c r="BB68" s="176" t="s">
        <v>1042</v>
      </c>
      <c r="BC68" s="444">
        <v>162</v>
      </c>
      <c r="BD68" s="445">
        <v>38762</v>
      </c>
      <c r="BN68" s="255"/>
      <c r="BO68" s="255"/>
      <c r="BP68" s="255"/>
      <c r="BQ68" s="279">
        <f>V68*0.3</f>
        <v>79269.048</v>
      </c>
      <c r="BR68" s="258">
        <f>BQ68*0.85</f>
        <v>67378.6908</v>
      </c>
      <c r="BS68" s="258">
        <f>+BQ68*0.15</f>
        <v>11890.357199999999</v>
      </c>
      <c r="BT68" s="325">
        <v>168</v>
      </c>
      <c r="BU68" s="326">
        <v>39238</v>
      </c>
      <c r="BV68" s="306"/>
      <c r="BY68" s="305" t="s">
        <v>700</v>
      </c>
      <c r="BZ68" s="256">
        <v>39266</v>
      </c>
      <c r="CA68" s="258">
        <f>67378.69+11890.36</f>
        <v>79269.05</v>
      </c>
      <c r="CB68" s="258">
        <v>151971.42</v>
      </c>
      <c r="CC68" s="265">
        <v>39430</v>
      </c>
      <c r="CD68" s="258">
        <f>+V68*0.5</f>
        <v>132115.08</v>
      </c>
      <c r="CE68" s="143">
        <f>+CD68*0.85</f>
        <v>112297.81799999998</v>
      </c>
      <c r="CF68" s="143">
        <f>+CD68*0.15</f>
        <v>19817.262</v>
      </c>
      <c r="CG68" s="240">
        <v>286</v>
      </c>
      <c r="CH68" s="256">
        <v>39653</v>
      </c>
      <c r="CI68" s="305" t="s">
        <v>1119</v>
      </c>
      <c r="CJ68" s="256">
        <v>39668</v>
      </c>
      <c r="CK68" s="258">
        <f>+CD68</f>
        <v>132115.08</v>
      </c>
      <c r="CL68" s="258">
        <f>111699.07+559.67</f>
        <v>112258.74</v>
      </c>
      <c r="CN68" s="258">
        <f>+V68*0.2</f>
        <v>52846.032</v>
      </c>
      <c r="CO68" s="327">
        <f>+CN68*0.85</f>
        <v>44919.127199999995</v>
      </c>
      <c r="CP68" s="327">
        <f>+CN68*0.15</f>
        <v>7926.904799999999</v>
      </c>
      <c r="CQ68" s="240">
        <v>475</v>
      </c>
      <c r="CR68" s="256">
        <v>39751</v>
      </c>
      <c r="CS68" s="305" t="s">
        <v>1088</v>
      </c>
      <c r="CT68" s="256">
        <v>39770</v>
      </c>
      <c r="CU68" s="258">
        <f>+CN68</f>
        <v>52846.032</v>
      </c>
      <c r="CV68" s="242"/>
      <c r="CW68" s="329"/>
      <c r="CX68" s="258"/>
      <c r="CY68" s="327"/>
      <c r="CZ68" s="327"/>
      <c r="DE68" s="258"/>
      <c r="DV68" s="256"/>
      <c r="FD68" s="145">
        <f>CA68+CK68+CU68+DE68+DO68</f>
        <v>264230.162</v>
      </c>
      <c r="FE68" s="388">
        <f t="shared" si="110"/>
        <v>184961.112</v>
      </c>
      <c r="FF68" s="159">
        <f t="shared" si="111"/>
        <v>79269.048</v>
      </c>
      <c r="FG68" s="147">
        <f t="shared" si="112"/>
        <v>264230.16</v>
      </c>
      <c r="FH68" s="147">
        <f t="shared" si="113"/>
        <v>264230.16000000003</v>
      </c>
      <c r="FI68" s="145">
        <f t="shared" si="114"/>
        <v>0</v>
      </c>
      <c r="FJ68" s="421">
        <f t="shared" si="115"/>
        <v>1.0000000000000002</v>
      </c>
      <c r="FK68" s="147">
        <f t="shared" si="116"/>
        <v>264230.16</v>
      </c>
      <c r="FL68" s="147">
        <f t="shared" si="117"/>
        <v>79269.048</v>
      </c>
      <c r="FM68" s="147">
        <f t="shared" si="118"/>
        <v>184961.112</v>
      </c>
      <c r="FN68" s="401">
        <f t="shared" si="119"/>
        <v>1</v>
      </c>
      <c r="FO68" s="135">
        <f t="shared" si="120"/>
        <v>264230.16</v>
      </c>
      <c r="FP68" s="147">
        <f t="shared" si="121"/>
        <v>0</v>
      </c>
      <c r="FR68" s="117">
        <f t="shared" si="122"/>
        <v>0</v>
      </c>
    </row>
    <row r="69" spans="2:174" ht="12.75" customHeight="1">
      <c r="B69" s="322"/>
      <c r="C69" s="300"/>
      <c r="E69" s="241"/>
      <c r="F69" s="241" t="s">
        <v>713</v>
      </c>
      <c r="G69" s="241"/>
      <c r="H69" s="242"/>
      <c r="I69" s="243"/>
      <c r="J69" s="243"/>
      <c r="K69" s="243"/>
      <c r="L69" s="243"/>
      <c r="M69" s="243"/>
      <c r="N69" s="243"/>
      <c r="O69" s="243"/>
      <c r="P69" s="243"/>
      <c r="Q69" s="243"/>
      <c r="R69" s="243"/>
      <c r="S69" s="243"/>
      <c r="T69" s="243">
        <v>136865.04</v>
      </c>
      <c r="U69" s="372">
        <f t="shared" si="105"/>
        <v>280491.23</v>
      </c>
      <c r="V69" s="324">
        <v>280491.23</v>
      </c>
      <c r="X69" s="243"/>
      <c r="Y69" s="243">
        <f t="shared" si="106"/>
        <v>280491.23</v>
      </c>
      <c r="Z69" s="122">
        <f t="shared" si="70"/>
        <v>42073.684499999996</v>
      </c>
      <c r="AA69" s="122">
        <f t="shared" si="107"/>
        <v>140245.615</v>
      </c>
      <c r="AB69" s="122">
        <f t="shared" si="108"/>
        <v>98171.93049999999</v>
      </c>
      <c r="AC69" s="122">
        <f t="shared" si="109"/>
        <v>238417.54549999998</v>
      </c>
      <c r="AD69" s="243"/>
      <c r="AE69" s="243"/>
      <c r="AG69" s="243"/>
      <c r="BC69" s="444">
        <v>162</v>
      </c>
      <c r="BD69" s="445">
        <v>38762</v>
      </c>
      <c r="BN69" s="255"/>
      <c r="BO69" s="255"/>
      <c r="BP69" s="255"/>
      <c r="BQ69" s="279">
        <f>V69*0.3</f>
        <v>84147.36899999999</v>
      </c>
      <c r="BR69" s="258">
        <f>BQ69*0.85</f>
        <v>71525.26365</v>
      </c>
      <c r="BS69" s="258">
        <f>+BQ69*0.15</f>
        <v>12622.105349999998</v>
      </c>
      <c r="BT69" s="325">
        <v>310</v>
      </c>
      <c r="BU69" s="326">
        <v>39357</v>
      </c>
      <c r="BV69" s="306"/>
      <c r="BY69" s="305" t="s">
        <v>753</v>
      </c>
      <c r="BZ69" s="256">
        <v>39367</v>
      </c>
      <c r="CA69" s="258">
        <f>BQ69</f>
        <v>84147.36899999999</v>
      </c>
      <c r="CB69" s="258">
        <v>136865.04</v>
      </c>
      <c r="CG69" s="592" t="s">
        <v>1038</v>
      </c>
      <c r="CK69" s="258"/>
      <c r="CL69" s="258">
        <f>245163.23-101537.04</f>
        <v>143626.19</v>
      </c>
      <c r="CM69" s="306" t="s">
        <v>1090</v>
      </c>
      <c r="CQ69" s="240"/>
      <c r="CV69" s="329"/>
      <c r="DA69" s="240"/>
      <c r="DV69" s="256"/>
      <c r="FD69" s="145">
        <f>CA69+CK69+CU69+DE69+DO69</f>
        <v>84147.36899999999</v>
      </c>
      <c r="FE69" s="388">
        <f t="shared" si="110"/>
        <v>0</v>
      </c>
      <c r="FF69" s="159">
        <f t="shared" si="111"/>
        <v>84147.36899999999</v>
      </c>
      <c r="FG69" s="147">
        <f t="shared" si="112"/>
        <v>280491.23</v>
      </c>
      <c r="FH69" s="147">
        <f t="shared" si="113"/>
        <v>280491.23</v>
      </c>
      <c r="FI69" s="145">
        <f t="shared" si="114"/>
        <v>0</v>
      </c>
      <c r="FJ69" s="421">
        <f t="shared" si="115"/>
        <v>1</v>
      </c>
      <c r="FK69" s="147">
        <f t="shared" si="116"/>
        <v>280491.23</v>
      </c>
      <c r="FL69" s="147">
        <f t="shared" si="117"/>
        <v>84147.36899999999</v>
      </c>
      <c r="FM69" s="147">
        <f t="shared" si="118"/>
        <v>0</v>
      </c>
      <c r="FN69" s="401">
        <f t="shared" si="119"/>
        <v>0.3</v>
      </c>
      <c r="FO69" s="135">
        <f t="shared" si="120"/>
        <v>84147.36899999999</v>
      </c>
      <c r="FP69" s="147">
        <f t="shared" si="121"/>
        <v>196343.86099999998</v>
      </c>
      <c r="FR69" s="117">
        <f t="shared" si="122"/>
        <v>0</v>
      </c>
    </row>
    <row r="70" spans="2:174" ht="12.75" customHeight="1">
      <c r="B70" s="322"/>
      <c r="C70" s="300"/>
      <c r="E70" s="241"/>
      <c r="F70" s="241" t="s">
        <v>788</v>
      </c>
      <c r="G70" s="241"/>
      <c r="H70" s="242"/>
      <c r="I70" s="243"/>
      <c r="J70" s="243"/>
      <c r="K70" s="243"/>
      <c r="L70" s="243"/>
      <c r="M70" s="243"/>
      <c r="N70" s="243"/>
      <c r="O70" s="243"/>
      <c r="P70" s="243"/>
      <c r="Q70" s="243"/>
      <c r="R70" s="243"/>
      <c r="S70" s="243"/>
      <c r="T70" s="243"/>
      <c r="U70" s="372">
        <f t="shared" si="105"/>
        <v>250282.08</v>
      </c>
      <c r="V70" s="324">
        <v>252034.99</v>
      </c>
      <c r="X70" s="243"/>
      <c r="Y70" s="243">
        <f t="shared" si="106"/>
        <v>252034.99</v>
      </c>
      <c r="Z70" s="122">
        <f t="shared" si="70"/>
        <v>37805.248499999994</v>
      </c>
      <c r="AA70" s="122">
        <f t="shared" si="107"/>
        <v>126017.495</v>
      </c>
      <c r="AB70" s="122">
        <f t="shared" si="108"/>
        <v>88212.2465</v>
      </c>
      <c r="AC70" s="122">
        <f t="shared" si="109"/>
        <v>214229.74149999997</v>
      </c>
      <c r="AD70" s="243"/>
      <c r="AE70" s="243"/>
      <c r="AG70" s="243"/>
      <c r="BB70" s="332" t="s">
        <v>789</v>
      </c>
      <c r="BC70" s="444">
        <v>162</v>
      </c>
      <c r="BD70" s="445">
        <v>38762</v>
      </c>
      <c r="BN70" s="255"/>
      <c r="BO70" s="255"/>
      <c r="BP70" s="255"/>
      <c r="BQ70" s="258">
        <f>V70*0.3</f>
        <v>75610.49699999999</v>
      </c>
      <c r="BR70" s="258">
        <f>BQ70*0.85</f>
        <v>64268.92244999999</v>
      </c>
      <c r="BS70" s="258">
        <f>+BQ70*0.15</f>
        <v>11341.574549999998</v>
      </c>
      <c r="BT70" s="349">
        <v>34</v>
      </c>
      <c r="BU70" s="326">
        <v>39489</v>
      </c>
      <c r="BV70" s="306"/>
      <c r="BY70" s="305" t="s">
        <v>1005</v>
      </c>
      <c r="BZ70" s="256">
        <v>39506</v>
      </c>
      <c r="CA70" s="258">
        <f>BQ70</f>
        <v>75610.49699999999</v>
      </c>
      <c r="CB70" s="258">
        <v>63379.2</v>
      </c>
      <c r="CC70" s="265">
        <v>39506</v>
      </c>
      <c r="CD70" s="258">
        <f>+V70*0.5</f>
        <v>126017.495</v>
      </c>
      <c r="CE70" s="143">
        <f>+CD70*0.85</f>
        <v>107114.87074999999</v>
      </c>
      <c r="CF70" s="143">
        <f>+CD70*0.15</f>
        <v>18902.624249999997</v>
      </c>
      <c r="CG70" s="240">
        <v>173</v>
      </c>
      <c r="CH70" s="256">
        <v>39583</v>
      </c>
      <c r="CI70" s="305" t="s">
        <v>442</v>
      </c>
      <c r="CJ70" s="256">
        <v>39622</v>
      </c>
      <c r="CK70" s="258">
        <f>+CD70</f>
        <v>126017.495</v>
      </c>
      <c r="CL70" s="258">
        <v>52244.88</v>
      </c>
      <c r="CM70" s="256">
        <v>39717</v>
      </c>
      <c r="CN70" s="258">
        <v>48654.1</v>
      </c>
      <c r="CO70" s="327">
        <f>+CN70*0.85</f>
        <v>41355.985</v>
      </c>
      <c r="CP70" s="327">
        <f>+CN70*0.15</f>
        <v>7298.115</v>
      </c>
      <c r="CQ70" s="240">
        <v>428</v>
      </c>
      <c r="CR70" s="256">
        <v>39735</v>
      </c>
      <c r="CS70" s="305" t="s">
        <v>1089</v>
      </c>
      <c r="CT70" s="256">
        <v>39750</v>
      </c>
      <c r="CU70" s="258">
        <v>48654.1</v>
      </c>
      <c r="CV70" s="258">
        <v>134658</v>
      </c>
      <c r="CW70" s="306" t="s">
        <v>769</v>
      </c>
      <c r="CX70" s="258"/>
      <c r="CY70" s="327"/>
      <c r="CZ70" s="327"/>
      <c r="DA70" s="240"/>
      <c r="DB70" s="256"/>
      <c r="DE70" s="258"/>
      <c r="DV70" s="256"/>
      <c r="FD70" s="145">
        <f>CA70+CK70+CU70+DE70+DO70</f>
        <v>250282.09199999998</v>
      </c>
      <c r="FE70" s="388">
        <f t="shared" si="110"/>
        <v>174671.595</v>
      </c>
      <c r="FF70" s="159">
        <f t="shared" si="111"/>
        <v>75610.49699999999</v>
      </c>
      <c r="FG70" s="147">
        <f t="shared" si="112"/>
        <v>252034.99</v>
      </c>
      <c r="FH70" s="147">
        <f t="shared" si="113"/>
        <v>250282.08</v>
      </c>
      <c r="FI70" s="145">
        <f t="shared" si="114"/>
        <v>1752.9100000000035</v>
      </c>
      <c r="FJ70" s="421">
        <f t="shared" si="115"/>
        <v>0.9930449736363987</v>
      </c>
      <c r="FK70" s="147">
        <f t="shared" si="116"/>
        <v>252034.99</v>
      </c>
      <c r="FL70" s="147">
        <f t="shared" si="117"/>
        <v>75610.49699999999</v>
      </c>
      <c r="FM70" s="147">
        <f t="shared" si="118"/>
        <v>174671.595</v>
      </c>
      <c r="FN70" s="401">
        <f t="shared" si="119"/>
        <v>0.9930450212488354</v>
      </c>
      <c r="FO70" s="135">
        <f t="shared" si="120"/>
        <v>250282.092</v>
      </c>
      <c r="FP70" s="147">
        <f t="shared" si="121"/>
        <v>1752.8979999999865</v>
      </c>
      <c r="FR70" s="117">
        <f t="shared" si="122"/>
        <v>1752.9100000000035</v>
      </c>
    </row>
    <row r="71" spans="1:174" s="258" customFormat="1" ht="12.75">
      <c r="A71" s="601"/>
      <c r="C71" s="243"/>
      <c r="D71" s="243"/>
      <c r="F71" s="258" t="s">
        <v>359</v>
      </c>
      <c r="H71" s="242"/>
      <c r="I71" s="243"/>
      <c r="J71" s="243"/>
      <c r="K71" s="243"/>
      <c r="L71" s="243"/>
      <c r="M71" s="243"/>
      <c r="N71" s="243"/>
      <c r="O71" s="243"/>
      <c r="P71" s="243"/>
      <c r="Q71" s="243"/>
      <c r="R71" s="243"/>
      <c r="S71" s="243"/>
      <c r="T71" s="243"/>
      <c r="U71" s="372">
        <f t="shared" si="105"/>
        <v>193902.42</v>
      </c>
      <c r="V71" s="243">
        <v>193902.42</v>
      </c>
      <c r="W71" s="243"/>
      <c r="X71" s="243"/>
      <c r="Y71" s="243">
        <f t="shared" si="106"/>
        <v>193902.42</v>
      </c>
      <c r="Z71" s="243">
        <f t="shared" si="70"/>
        <v>29085.363</v>
      </c>
      <c r="AA71" s="243">
        <f t="shared" si="107"/>
        <v>96951.21</v>
      </c>
      <c r="AB71" s="243">
        <f t="shared" si="108"/>
        <v>67865.847</v>
      </c>
      <c r="AC71" s="243">
        <f t="shared" si="109"/>
        <v>164817.057</v>
      </c>
      <c r="AD71" s="243"/>
      <c r="AE71" s="243"/>
      <c r="AF71" s="243"/>
      <c r="AG71" s="243"/>
      <c r="AH71" s="243"/>
      <c r="AI71" s="243"/>
      <c r="AJ71" s="243"/>
      <c r="AK71" s="243"/>
      <c r="AL71" s="243"/>
      <c r="AM71" s="243"/>
      <c r="AN71" s="243"/>
      <c r="AO71" s="243" t="s">
        <v>533</v>
      </c>
      <c r="AP71" s="243" t="s">
        <v>660</v>
      </c>
      <c r="AQ71" s="243"/>
      <c r="AR71" s="605">
        <v>73100</v>
      </c>
      <c r="AS71" s="243"/>
      <c r="AT71" s="243"/>
      <c r="AU71" s="243"/>
      <c r="AV71" s="243"/>
      <c r="AW71" s="274" t="s">
        <v>658</v>
      </c>
      <c r="AX71" s="243"/>
      <c r="AY71" s="341" t="s">
        <v>661</v>
      </c>
      <c r="AZ71" s="341" t="s">
        <v>662</v>
      </c>
      <c r="BA71" s="243"/>
      <c r="BB71" s="258" t="s">
        <v>659</v>
      </c>
      <c r="BC71" s="450">
        <v>252</v>
      </c>
      <c r="BD71" s="445">
        <v>39933</v>
      </c>
      <c r="BE71" s="489" t="s">
        <v>494</v>
      </c>
      <c r="BF71" s="243"/>
      <c r="BG71" s="243"/>
      <c r="BH71" s="243"/>
      <c r="BN71" s="282"/>
      <c r="BO71" s="282"/>
      <c r="BP71" s="282"/>
      <c r="BQ71" s="258">
        <v>0</v>
      </c>
      <c r="BR71" s="258">
        <v>0</v>
      </c>
      <c r="BS71" s="258">
        <v>0</v>
      </c>
      <c r="CB71" s="258">
        <v>193902.42</v>
      </c>
      <c r="CC71" s="258">
        <v>39959</v>
      </c>
      <c r="CD71" s="258">
        <v>193902.42</v>
      </c>
      <c r="CE71" s="143">
        <f>+CD71*0.85</f>
        <v>164817.057</v>
      </c>
      <c r="CF71" s="143">
        <f>+CD71*0.15</f>
        <v>29085.363</v>
      </c>
      <c r="CG71" s="604" t="s">
        <v>717</v>
      </c>
      <c r="CK71" s="258">
        <f>+CD71</f>
        <v>193902.42</v>
      </c>
      <c r="CQ71" s="243"/>
      <c r="DA71" s="243"/>
      <c r="DV71" s="256"/>
      <c r="FD71" s="145">
        <f>CA71+CK71+CU71+DE71+DO71</f>
        <v>193902.42</v>
      </c>
      <c r="FE71" s="388">
        <f t="shared" si="110"/>
        <v>193902.42</v>
      </c>
      <c r="FF71" s="159">
        <f t="shared" si="111"/>
        <v>58170.726</v>
      </c>
      <c r="FG71" s="258">
        <f t="shared" si="112"/>
        <v>193902.42</v>
      </c>
      <c r="FH71" s="147">
        <f t="shared" si="113"/>
        <v>193902.42</v>
      </c>
      <c r="FI71" s="145">
        <f t="shared" si="114"/>
        <v>0</v>
      </c>
      <c r="FJ71" s="421">
        <f t="shared" si="115"/>
        <v>1</v>
      </c>
      <c r="FK71" s="177">
        <f t="shared" si="116"/>
        <v>193902.42</v>
      </c>
      <c r="FL71" s="147">
        <f t="shared" si="117"/>
        <v>0</v>
      </c>
      <c r="FM71" s="147">
        <f t="shared" si="118"/>
        <v>193902.42</v>
      </c>
      <c r="FN71" s="401">
        <f t="shared" si="119"/>
        <v>1</v>
      </c>
      <c r="FO71" s="135">
        <f t="shared" si="120"/>
        <v>193902.42</v>
      </c>
      <c r="FP71" s="147">
        <f t="shared" si="121"/>
        <v>0</v>
      </c>
      <c r="FR71" s="117">
        <f t="shared" si="122"/>
        <v>0</v>
      </c>
    </row>
    <row r="72" spans="1:174" s="294" customFormat="1" ht="10.5" customHeight="1">
      <c r="A72" s="600"/>
      <c r="B72" s="184"/>
      <c r="C72" s="323"/>
      <c r="D72" s="284"/>
      <c r="E72" s="286"/>
      <c r="F72" s="286"/>
      <c r="G72" s="286"/>
      <c r="H72" s="287"/>
      <c r="I72" s="288"/>
      <c r="J72" s="288"/>
      <c r="K72" s="288"/>
      <c r="L72" s="288"/>
      <c r="M72" s="288"/>
      <c r="N72" s="288"/>
      <c r="O72" s="288"/>
      <c r="P72" s="288"/>
      <c r="Q72" s="288"/>
      <c r="R72" s="288"/>
      <c r="S72" s="288"/>
      <c r="T72" s="288"/>
      <c r="U72" s="330">
        <f>SUM(U65:U70)</f>
        <v>2180600.6700000004</v>
      </c>
      <c r="V72" s="330">
        <f>SUM(V65:V71)</f>
        <v>2500224.58</v>
      </c>
      <c r="W72" s="288"/>
      <c r="X72" s="288"/>
      <c r="Y72" s="330">
        <f>SUM(Y65:Y71)</f>
        <v>2500224.58</v>
      </c>
      <c r="Z72" s="330">
        <f>SUM(Z65:Z71)</f>
        <v>375033.687</v>
      </c>
      <c r="AA72" s="330">
        <f>SUM(AA65:AA71)</f>
        <v>1250112.29</v>
      </c>
      <c r="AB72" s="330">
        <f>SUM(AB65:AB71)</f>
        <v>875078.6029999999</v>
      </c>
      <c r="AC72" s="330">
        <f>SUM(AC65:AC71)</f>
        <v>2125190.893</v>
      </c>
      <c r="AD72" s="288"/>
      <c r="AE72" s="288"/>
      <c r="AF72" s="289"/>
      <c r="AG72" s="288"/>
      <c r="AH72" s="290"/>
      <c r="AI72" s="291"/>
      <c r="AJ72" s="289"/>
      <c r="AK72" s="291"/>
      <c r="AL72" s="290"/>
      <c r="AM72" s="284"/>
      <c r="AN72" s="284"/>
      <c r="AO72" s="284"/>
      <c r="AP72" s="284"/>
      <c r="AQ72" s="284"/>
      <c r="AR72" s="284"/>
      <c r="AS72" s="284"/>
      <c r="AT72" s="284"/>
      <c r="AU72" s="284"/>
      <c r="AV72" s="284"/>
      <c r="AW72" s="291"/>
      <c r="AX72" s="291"/>
      <c r="AY72" s="292"/>
      <c r="AZ72" s="292"/>
      <c r="BA72" s="291"/>
      <c r="BB72" s="291"/>
      <c r="BC72" s="446"/>
      <c r="BD72" s="446"/>
      <c r="BE72" s="284"/>
      <c r="BF72" s="293"/>
      <c r="BG72" s="293"/>
      <c r="BH72" s="288"/>
      <c r="BQ72" s="330">
        <f>SUM(BQ65:BQ71)</f>
        <v>660129.694</v>
      </c>
      <c r="BR72" s="330">
        <f>SUM(BR65:BR71)</f>
        <v>561110.2398999999</v>
      </c>
      <c r="BS72" s="330">
        <f>SUM(BS65:BS71)</f>
        <v>99019.4541</v>
      </c>
      <c r="CA72" s="330">
        <f>SUM(CA65:CA71)</f>
        <v>660129.696</v>
      </c>
      <c r="CB72" s="330">
        <f>SUM(CB65:CB71)</f>
        <v>1038794.1100000001</v>
      </c>
      <c r="CC72" s="297"/>
      <c r="CD72" s="330">
        <f>SUM(CD65:CD71)</f>
        <v>1094250.135</v>
      </c>
      <c r="CE72" s="296"/>
      <c r="CF72" s="296"/>
      <c r="CG72" s="284"/>
      <c r="CH72" s="298"/>
      <c r="CK72" s="330">
        <f>SUM(CK65:CK71)</f>
        <v>1094250.135</v>
      </c>
      <c r="CL72" s="330">
        <f>SUM(CL65:CL70)</f>
        <v>773225.2200000001</v>
      </c>
      <c r="CN72" s="296"/>
      <c r="CQ72" s="284"/>
      <c r="CU72" s="296">
        <f>SUM(CU65:CU71)</f>
        <v>186185.562</v>
      </c>
      <c r="CV72" s="296">
        <f>SUM(CV65:CV71)</f>
        <v>218876.47</v>
      </c>
      <c r="CX72" s="296">
        <f>SUM(CX65:CX71)</f>
        <v>42526.48</v>
      </c>
      <c r="DA72" s="284"/>
      <c r="DE72" s="296">
        <f>SUM(DE65:DE71)</f>
        <v>42526.48</v>
      </c>
      <c r="DF72" s="296">
        <f>SUM(DF65:DF71)</f>
        <v>63360</v>
      </c>
      <c r="FD72" s="299"/>
      <c r="FE72" s="299"/>
      <c r="FF72" s="299"/>
      <c r="FG72" s="416">
        <f>SUM(FG65:FG71)</f>
        <v>2500224.58</v>
      </c>
      <c r="FH72" s="416">
        <f>SUM(FH65:FH70)</f>
        <v>2180600.6700000004</v>
      </c>
      <c r="FI72" s="416">
        <f>SUM(FI65:FI70)</f>
        <v>125721.48999999996</v>
      </c>
      <c r="FJ72" s="424"/>
      <c r="FK72" s="416">
        <f>SUM(FK65:FK71)</f>
        <v>2500224.58</v>
      </c>
      <c r="FL72" s="416">
        <f>SUM(FL65:FL71)</f>
        <v>660129.694</v>
      </c>
      <c r="FM72" s="416">
        <f>SUM(FM65:FM71)</f>
        <v>1641998.1309999998</v>
      </c>
      <c r="FO72" s="416">
        <f>SUM(FO65:FO71)</f>
        <v>2302127.8249999997</v>
      </c>
      <c r="FP72" s="416">
        <f>SUM(FP65:FP71)</f>
        <v>198096.7549999999</v>
      </c>
      <c r="FR72" s="296"/>
    </row>
    <row r="73" spans="2:105" ht="12.75" customHeight="1">
      <c r="B73" s="322"/>
      <c r="C73" s="621" t="s">
        <v>527</v>
      </c>
      <c r="D73" s="621"/>
      <c r="E73" s="621"/>
      <c r="F73" s="621"/>
      <c r="G73" s="241"/>
      <c r="H73" s="242"/>
      <c r="I73" s="243"/>
      <c r="J73" s="243"/>
      <c r="K73" s="243"/>
      <c r="L73" s="243"/>
      <c r="M73" s="243"/>
      <c r="N73" s="243"/>
      <c r="O73" s="243"/>
      <c r="P73" s="243"/>
      <c r="Q73" s="243"/>
      <c r="R73" s="243"/>
      <c r="S73" s="243"/>
      <c r="T73" s="243"/>
      <c r="U73" s="243"/>
      <c r="V73" s="243"/>
      <c r="X73" s="243"/>
      <c r="Y73" s="243"/>
      <c r="Z73" s="243"/>
      <c r="AA73" s="243"/>
      <c r="AB73" s="243"/>
      <c r="AC73" s="243"/>
      <c r="AD73" s="243"/>
      <c r="AE73" s="243"/>
      <c r="AG73" s="243"/>
      <c r="AW73" s="250"/>
      <c r="BE73" s="240" t="s">
        <v>680</v>
      </c>
      <c r="BG73" s="278" t="s">
        <v>681</v>
      </c>
      <c r="BN73" s="255"/>
      <c r="BO73" s="255"/>
      <c r="BP73" s="255"/>
      <c r="CQ73" s="240"/>
      <c r="DA73" s="240"/>
    </row>
    <row r="74" spans="1:192" s="251" customFormat="1" ht="15" customHeight="1">
      <c r="A74" s="595"/>
      <c r="B74" s="633" t="s">
        <v>528</v>
      </c>
      <c r="C74" s="634"/>
      <c r="D74" s="240">
        <v>11</v>
      </c>
      <c r="E74" s="480" t="s">
        <v>640</v>
      </c>
      <c r="F74" s="480" t="s">
        <v>1222</v>
      </c>
      <c r="G74" s="176" t="s">
        <v>722</v>
      </c>
      <c r="H74" s="312">
        <v>3457000</v>
      </c>
      <c r="I74" s="243"/>
      <c r="J74" s="243"/>
      <c r="K74" s="243"/>
      <c r="L74" s="243"/>
      <c r="M74" s="135">
        <f aca="true" t="shared" si="123" ref="M74:M81">+H74-K74</f>
        <v>3457000</v>
      </c>
      <c r="N74" s="122">
        <f aca="true" t="shared" si="124" ref="N74:N81">+M74</f>
        <v>3457000</v>
      </c>
      <c r="O74" s="135"/>
      <c r="P74" s="135"/>
      <c r="Q74" s="135"/>
      <c r="R74" s="135"/>
      <c r="S74" s="135"/>
      <c r="T74" s="404">
        <f aca="true" t="shared" si="125" ref="T74:T81">+Y74-P74</f>
        <v>3457000</v>
      </c>
      <c r="U74" s="372">
        <f aca="true" t="shared" si="126" ref="U74:U84">+FH74</f>
        <v>3455792.89</v>
      </c>
      <c r="V74" s="243">
        <f>H74</f>
        <v>3457000</v>
      </c>
      <c r="W74" s="243"/>
      <c r="X74" s="243"/>
      <c r="Y74" s="122">
        <f aca="true" t="shared" si="127" ref="Y74:Y84">V74</f>
        <v>3457000</v>
      </c>
      <c r="Z74" s="122">
        <f aca="true" t="shared" si="128" ref="Z74:Z84">+Y74*0.15</f>
        <v>518550</v>
      </c>
      <c r="AA74" s="122">
        <f>+Y74*0.5</f>
        <v>1728500</v>
      </c>
      <c r="AB74" s="122">
        <f>+Y74*0.35</f>
        <v>1209950</v>
      </c>
      <c r="AC74" s="122">
        <f>+Y74*0.85</f>
        <v>2938450</v>
      </c>
      <c r="AD74" s="122">
        <f>+H74-Y74-K74</f>
        <v>0</v>
      </c>
      <c r="AE74" s="122">
        <f>K74</f>
        <v>0</v>
      </c>
      <c r="AF74" s="244">
        <v>39002</v>
      </c>
      <c r="AG74" s="246">
        <v>107151</v>
      </c>
      <c r="AH74" s="245"/>
      <c r="AI74" s="246" t="s">
        <v>1325</v>
      </c>
      <c r="AJ74" s="244">
        <v>39013</v>
      </c>
      <c r="AK74" s="246">
        <v>640</v>
      </c>
      <c r="AL74" s="245"/>
      <c r="AM74" s="240"/>
      <c r="AN74" s="241" t="s">
        <v>1222</v>
      </c>
      <c r="AO74" s="240" t="s">
        <v>533</v>
      </c>
      <c r="AP74" s="241" t="s">
        <v>534</v>
      </c>
      <c r="AQ74" s="240">
        <v>1</v>
      </c>
      <c r="AR74" s="240">
        <v>73100</v>
      </c>
      <c r="AS74" s="331" t="s">
        <v>535</v>
      </c>
      <c r="AT74" s="247" t="s">
        <v>536</v>
      </c>
      <c r="AU74" s="241" t="s">
        <v>537</v>
      </c>
      <c r="AV74" s="332" t="s">
        <v>32</v>
      </c>
      <c r="AW74" s="125">
        <v>80008510754</v>
      </c>
      <c r="AX74" s="246"/>
      <c r="AY74" s="130" t="s">
        <v>123</v>
      </c>
      <c r="AZ74" s="130" t="s">
        <v>124</v>
      </c>
      <c r="BA74" s="609" t="s">
        <v>1059</v>
      </c>
      <c r="BB74" s="609"/>
      <c r="BC74" s="444">
        <v>190</v>
      </c>
      <c r="BD74" s="445">
        <v>39252</v>
      </c>
      <c r="BE74" s="253">
        <v>39261</v>
      </c>
      <c r="BF74" s="333"/>
      <c r="BG74" s="253">
        <v>39261</v>
      </c>
      <c r="BH74" s="243"/>
      <c r="BJ74" s="251" t="s">
        <v>1301</v>
      </c>
      <c r="BK74" s="251" t="s">
        <v>1301</v>
      </c>
      <c r="BL74" s="334">
        <v>39258</v>
      </c>
      <c r="BM74" s="335">
        <v>39225</v>
      </c>
      <c r="BN74" s="335">
        <v>39173</v>
      </c>
      <c r="BO74" s="251">
        <f>18+1.35</f>
        <v>19.35</v>
      </c>
      <c r="BP74" s="124">
        <f>BN74+(BO74*365/12)+1</f>
        <v>39762.5625</v>
      </c>
      <c r="BQ74" s="152">
        <f>+Y74*0.3</f>
        <v>1037100</v>
      </c>
      <c r="BR74" s="123">
        <f>+AC74*0.3</f>
        <v>881535</v>
      </c>
      <c r="BS74" s="123">
        <f>+Z74*0.3</f>
        <v>155565</v>
      </c>
      <c r="BT74" s="251">
        <v>351</v>
      </c>
      <c r="BU74" s="335">
        <v>39377</v>
      </c>
      <c r="BV74" s="336"/>
      <c r="BY74" s="337" t="s">
        <v>768</v>
      </c>
      <c r="BZ74" s="335">
        <v>39391</v>
      </c>
      <c r="CA74" s="312">
        <f>881535+155565</f>
        <v>1037100</v>
      </c>
      <c r="CB74" s="312">
        <v>142166.35</v>
      </c>
      <c r="CC74" s="338">
        <v>39552</v>
      </c>
      <c r="CD74" s="312">
        <f>+CB74</f>
        <v>142166.35</v>
      </c>
      <c r="CE74" s="143">
        <f>+CD74*0.85</f>
        <v>120841.3975</v>
      </c>
      <c r="CF74" s="143">
        <f>+CD74*0.15</f>
        <v>21324.9525</v>
      </c>
      <c r="CG74" s="246">
        <v>332</v>
      </c>
      <c r="CH74" s="335">
        <v>39696</v>
      </c>
      <c r="CI74" s="305" t="s">
        <v>1077</v>
      </c>
      <c r="CJ74" s="335">
        <v>39716</v>
      </c>
      <c r="CK74" s="312">
        <f>+CD74</f>
        <v>142166.35</v>
      </c>
      <c r="CL74" s="266">
        <v>263735.3</v>
      </c>
      <c r="CM74" s="335">
        <v>39727</v>
      </c>
      <c r="CN74" s="312">
        <f>+CL74</f>
        <v>263735.3</v>
      </c>
      <c r="CO74" s="141">
        <f>+CN74*0.85</f>
        <v>224175.00499999998</v>
      </c>
      <c r="CP74" s="141">
        <f>+CN74*0.15</f>
        <v>39560.295</v>
      </c>
      <c r="CQ74" s="125">
        <v>86</v>
      </c>
      <c r="CR74" s="335">
        <v>39868</v>
      </c>
      <c r="CS74" s="337" t="s">
        <v>379</v>
      </c>
      <c r="CT74" s="335">
        <v>39898</v>
      </c>
      <c r="CU74" s="258">
        <f>+CN74</f>
        <v>263735.3</v>
      </c>
      <c r="CV74" s="312">
        <v>1693980</v>
      </c>
      <c r="CX74" s="312">
        <v>1693980</v>
      </c>
      <c r="CY74" s="141">
        <f>+CX74*0.85</f>
        <v>1439883</v>
      </c>
      <c r="CZ74" s="141">
        <f>+CX74*0.15</f>
        <v>254097</v>
      </c>
      <c r="DA74" s="246">
        <v>564</v>
      </c>
      <c r="DB74" s="335">
        <v>39772</v>
      </c>
      <c r="DC74" s="305" t="s">
        <v>319</v>
      </c>
      <c r="DD74" s="335">
        <v>39785</v>
      </c>
      <c r="DE74" s="258">
        <f>CX74</f>
        <v>1693980</v>
      </c>
      <c r="DF74" s="407">
        <v>1304228.11</v>
      </c>
      <c r="DG74" s="335">
        <v>39804</v>
      </c>
      <c r="DH74" s="312">
        <v>147168.35</v>
      </c>
      <c r="DI74" s="143">
        <f>+DH74*0.85</f>
        <v>125093.0975</v>
      </c>
      <c r="DJ74" s="143">
        <f>+DH74*0.15</f>
        <v>22075.2525</v>
      </c>
      <c r="DK74" s="251">
        <v>85</v>
      </c>
      <c r="DL74" s="335">
        <v>39868</v>
      </c>
      <c r="DM74" s="337" t="s">
        <v>380</v>
      </c>
      <c r="DN74" s="335">
        <v>39898</v>
      </c>
      <c r="DO74" s="258">
        <f>+DH74</f>
        <v>147168.35</v>
      </c>
      <c r="DP74" s="251">
        <v>43457.29</v>
      </c>
      <c r="DQ74" s="251" t="s">
        <v>437</v>
      </c>
      <c r="DR74" s="251">
        <v>0</v>
      </c>
      <c r="DY74" s="251">
        <v>0</v>
      </c>
      <c r="DZ74" s="312">
        <f>8225.84</f>
        <v>8225.84</v>
      </c>
      <c r="EA74" s="335">
        <v>39988</v>
      </c>
      <c r="EB74" s="312">
        <v>0</v>
      </c>
      <c r="EC74" s="312">
        <f>+EB74*0.85</f>
        <v>0</v>
      </c>
      <c r="ED74" s="312">
        <f>+EB74*0.15</f>
        <v>0</v>
      </c>
      <c r="EI74" s="251">
        <v>0</v>
      </c>
      <c r="FD74" s="388">
        <f aca="true" t="shared" si="129" ref="FD74:FD84">+FE74+FF74</f>
        <v>3455789.84</v>
      </c>
      <c r="FE74" s="388">
        <f>CK74+CU74+DE74+DO74+DY74+EI74+ES74+FC74+GJ74</f>
        <v>2418689.84</v>
      </c>
      <c r="FF74" s="159">
        <f aca="true" t="shared" si="130" ref="FF74:FF84">+BQ74</f>
        <v>1037100</v>
      </c>
      <c r="FG74" s="147">
        <f aca="true" t="shared" si="131" ref="FG74:FG84">+T74</f>
        <v>3457000</v>
      </c>
      <c r="FH74" s="147">
        <f aca="true" t="shared" si="132" ref="FH74:FH84">CL74+CB74+DF74+DP74+CV74+DZ74+EJ74+ET74</f>
        <v>3455792.89</v>
      </c>
      <c r="FI74" s="145">
        <f>FG74-FH74</f>
        <v>1207.1099999998696</v>
      </c>
      <c r="FJ74" s="432">
        <f>FH74/FG74</f>
        <v>0.9996508215215505</v>
      </c>
      <c r="FK74" s="147">
        <f aca="true" t="shared" si="133" ref="FK74:FK84">T74</f>
        <v>3457000</v>
      </c>
      <c r="FL74" s="147">
        <f>BQ74</f>
        <v>1037100</v>
      </c>
      <c r="FM74" s="135">
        <f aca="true" t="shared" si="134" ref="FM74:FM84">+CX74+CN74+CD74+DH74+DR74+EB74+EL74</f>
        <v>2247050</v>
      </c>
      <c r="FN74" s="379">
        <f aca="true" t="shared" si="135" ref="FN74:FN85">+FO74/FK74</f>
        <v>0.95</v>
      </c>
      <c r="FO74" s="135">
        <f aca="true" t="shared" si="136" ref="FO74:FO84">+DH74+CX74+CN74+CD74+BQ74+DR74+EB74+EL74</f>
        <v>3284150</v>
      </c>
      <c r="FP74" s="147">
        <f>FK74-FO74</f>
        <v>172850</v>
      </c>
      <c r="FQ74" s="423">
        <f aca="true" t="shared" si="137" ref="FQ74:FQ85">+FM74/FK74</f>
        <v>0.65</v>
      </c>
      <c r="FR74" s="117">
        <f aca="true" t="shared" si="138" ref="FR74:FR80">+FG74-FH74</f>
        <v>1207.1099999998696</v>
      </c>
      <c r="FS74" s="312"/>
      <c r="FT74" s="483" t="s">
        <v>545</v>
      </c>
      <c r="FU74" s="482" t="s">
        <v>541</v>
      </c>
      <c r="FV74" s="583">
        <f>3584.02+3955.39+4218.11</f>
        <v>11757.52</v>
      </c>
      <c r="FX74" s="583" t="s">
        <v>1001</v>
      </c>
      <c r="FY74" s="593">
        <v>3455789.84</v>
      </c>
      <c r="FZ74" s="312">
        <f>+FY74-FO74</f>
        <v>171639.83999999985</v>
      </c>
      <c r="GA74" s="312">
        <f>+FZ74*0.85</f>
        <v>145893.86399999986</v>
      </c>
      <c r="GB74" s="312">
        <f>+FZ74*0.15</f>
        <v>25745.975999999977</v>
      </c>
      <c r="GC74" s="312">
        <f>+FG74-FY74</f>
        <v>1210.160000000149</v>
      </c>
      <c r="GD74" s="312">
        <f>+GC74*0.85</f>
        <v>1028.6360000001266</v>
      </c>
      <c r="GE74" s="312">
        <f>+GC74*0.15</f>
        <v>181.52400000002234</v>
      </c>
      <c r="GF74" s="336" t="s">
        <v>717</v>
      </c>
      <c r="GG74" s="312">
        <f>39560.3+22075.25</f>
        <v>61635.55</v>
      </c>
      <c r="GH74" s="312">
        <v>71718.86</v>
      </c>
      <c r="GI74" s="312">
        <f>+GH74-GG74</f>
        <v>10083.309999999998</v>
      </c>
      <c r="GJ74" s="312">
        <f>+FZ74</f>
        <v>171639.83999999985</v>
      </c>
    </row>
    <row r="75" spans="1:192" s="251" customFormat="1" ht="15" customHeight="1">
      <c r="A75" s="595"/>
      <c r="B75" s="633"/>
      <c r="C75" s="634"/>
      <c r="D75" s="240">
        <v>11</v>
      </c>
      <c r="E75" s="480" t="s">
        <v>547</v>
      </c>
      <c r="F75" s="480" t="s">
        <v>1206</v>
      </c>
      <c r="G75" s="176" t="s">
        <v>666</v>
      </c>
      <c r="H75" s="242">
        <v>4742333</v>
      </c>
      <c r="I75" s="243"/>
      <c r="J75" s="243"/>
      <c r="K75" s="243"/>
      <c r="L75" s="243"/>
      <c r="M75" s="135">
        <f t="shared" si="123"/>
        <v>4742333</v>
      </c>
      <c r="N75" s="122">
        <f t="shared" si="124"/>
        <v>4742333</v>
      </c>
      <c r="O75" s="135"/>
      <c r="P75" s="135"/>
      <c r="Q75" s="135"/>
      <c r="R75" s="135"/>
      <c r="S75" s="135"/>
      <c r="T75" s="404">
        <f t="shared" si="125"/>
        <v>4742333</v>
      </c>
      <c r="U75" s="372">
        <f t="shared" si="126"/>
        <v>4742218.46</v>
      </c>
      <c r="V75" s="243">
        <f>H75</f>
        <v>4742333</v>
      </c>
      <c r="W75" s="243"/>
      <c r="X75" s="243"/>
      <c r="Y75" s="122">
        <f t="shared" si="127"/>
        <v>4742333</v>
      </c>
      <c r="Z75" s="122">
        <f t="shared" si="128"/>
        <v>711349.95</v>
      </c>
      <c r="AA75" s="122">
        <f>+Y75*0.5</f>
        <v>2371166.5</v>
      </c>
      <c r="AB75" s="122">
        <f>+Y75*0.35</f>
        <v>1659816.5499999998</v>
      </c>
      <c r="AC75" s="122">
        <f>+Y75*0.85</f>
        <v>4030983.05</v>
      </c>
      <c r="AD75" s="122">
        <f>+H75-Y75-K75</f>
        <v>0</v>
      </c>
      <c r="AE75" s="122">
        <f>K75</f>
        <v>0</v>
      </c>
      <c r="AF75" s="244">
        <v>39100</v>
      </c>
      <c r="AG75" s="246">
        <v>1981</v>
      </c>
      <c r="AH75" s="245"/>
      <c r="AI75" s="246" t="s">
        <v>1325</v>
      </c>
      <c r="AJ75" s="244">
        <v>39108</v>
      </c>
      <c r="AK75" s="246">
        <v>546</v>
      </c>
      <c r="AL75" s="245"/>
      <c r="AM75" s="240"/>
      <c r="AN75" s="241" t="s">
        <v>1206</v>
      </c>
      <c r="AO75" s="240" t="s">
        <v>548</v>
      </c>
      <c r="AP75" s="241" t="s">
        <v>549</v>
      </c>
      <c r="AQ75" s="240">
        <v>32</v>
      </c>
      <c r="AR75" s="240">
        <v>74015</v>
      </c>
      <c r="AS75" s="331" t="s">
        <v>667</v>
      </c>
      <c r="AT75" s="247" t="s">
        <v>550</v>
      </c>
      <c r="AU75" s="241" t="s">
        <v>668</v>
      </c>
      <c r="AV75" s="332" t="s">
        <v>196</v>
      </c>
      <c r="AW75" s="250">
        <v>80006710737</v>
      </c>
      <c r="AX75" s="246"/>
      <c r="AY75" s="250" t="s">
        <v>714</v>
      </c>
      <c r="AZ75" s="250" t="s">
        <v>1337</v>
      </c>
      <c r="BA75" s="624" t="s">
        <v>633</v>
      </c>
      <c r="BB75" s="624"/>
      <c r="BC75" s="444">
        <v>192</v>
      </c>
      <c r="BD75" s="445">
        <v>39252</v>
      </c>
      <c r="BE75" s="253">
        <v>39261</v>
      </c>
      <c r="BF75" s="333"/>
      <c r="BG75" s="253">
        <v>39225</v>
      </c>
      <c r="BH75" s="243"/>
      <c r="BJ75" s="251" t="s">
        <v>1301</v>
      </c>
      <c r="BK75" s="251" t="s">
        <v>1301</v>
      </c>
      <c r="BL75" s="334">
        <v>39225</v>
      </c>
      <c r="BM75" s="335">
        <v>39358</v>
      </c>
      <c r="BN75" s="335">
        <v>39146</v>
      </c>
      <c r="BO75" s="251">
        <f>18.1+0.82</f>
        <v>18.92</v>
      </c>
      <c r="BP75" s="124">
        <v>39979</v>
      </c>
      <c r="BQ75" s="152">
        <f>+Y75*0.3</f>
        <v>1422699.9</v>
      </c>
      <c r="BR75" s="123">
        <f>+AC75*0.3</f>
        <v>1209294.9149999998</v>
      </c>
      <c r="BS75" s="123">
        <f>+Z75*0.3</f>
        <v>213404.985</v>
      </c>
      <c r="BT75" s="251">
        <v>350</v>
      </c>
      <c r="BU75" s="335">
        <v>39377</v>
      </c>
      <c r="BV75" s="336"/>
      <c r="BY75" s="337" t="s">
        <v>767</v>
      </c>
      <c r="BZ75" s="335">
        <v>39391</v>
      </c>
      <c r="CA75" s="312">
        <f>1209294.92+213404.99</f>
        <v>1422699.91</v>
      </c>
      <c r="CB75" s="312">
        <v>1371357.98</v>
      </c>
      <c r="CC75" s="338">
        <v>39759</v>
      </c>
      <c r="CD75" s="312">
        <f>+CB75</f>
        <v>1371357.98</v>
      </c>
      <c r="CE75" s="143">
        <f>+CD75*0.85</f>
        <v>1165654.283</v>
      </c>
      <c r="CF75" s="143">
        <f>+CD75*0.15</f>
        <v>205703.697</v>
      </c>
      <c r="CG75" s="246">
        <v>535</v>
      </c>
      <c r="CH75" s="335">
        <v>39765</v>
      </c>
      <c r="CI75" s="337" t="s">
        <v>313</v>
      </c>
      <c r="CJ75" s="335">
        <v>39784</v>
      </c>
      <c r="CK75" s="312">
        <f>+CD75</f>
        <v>1371357.98</v>
      </c>
      <c r="CL75" s="312">
        <v>1325977.97</v>
      </c>
      <c r="CM75" s="335">
        <v>39854</v>
      </c>
      <c r="CN75" s="312">
        <f>+CL75</f>
        <v>1325977.97</v>
      </c>
      <c r="CO75" s="143">
        <f>+CN75*0.85</f>
        <v>1127081.2745</v>
      </c>
      <c r="CP75" s="143">
        <f>+CN75*0.15</f>
        <v>198896.6955</v>
      </c>
      <c r="CQ75" s="125">
        <v>84</v>
      </c>
      <c r="CR75" s="335">
        <v>39868</v>
      </c>
      <c r="CS75" s="337" t="s">
        <v>240</v>
      </c>
      <c r="CT75" s="335">
        <v>39884</v>
      </c>
      <c r="CU75" s="258">
        <f>+CN75</f>
        <v>1325977.97</v>
      </c>
      <c r="CV75" s="312">
        <v>14339.25</v>
      </c>
      <c r="CX75" s="251">
        <v>0</v>
      </c>
      <c r="CY75" s="251">
        <v>0</v>
      </c>
      <c r="CZ75" s="251">
        <v>0</v>
      </c>
      <c r="DA75" s="240" t="s">
        <v>765</v>
      </c>
      <c r="DE75" s="251">
        <v>0</v>
      </c>
      <c r="DF75" s="312">
        <f>466204.81</f>
        <v>466204.81</v>
      </c>
      <c r="DG75" s="335">
        <v>39906</v>
      </c>
      <c r="DH75" s="312">
        <v>385180.5</v>
      </c>
      <c r="DI75" s="143">
        <f>+DH75*0.85</f>
        <v>327403.425</v>
      </c>
      <c r="DJ75" s="143">
        <f>+DH75*0.15</f>
        <v>57777.075</v>
      </c>
      <c r="DK75" s="251">
        <v>229</v>
      </c>
      <c r="DL75" s="335">
        <v>39930</v>
      </c>
      <c r="DM75" s="337" t="s">
        <v>515</v>
      </c>
      <c r="DN75" s="335">
        <v>39951</v>
      </c>
      <c r="DO75" s="258">
        <v>385180.5</v>
      </c>
      <c r="DP75" s="312">
        <v>1564338.45</v>
      </c>
      <c r="DR75" s="312">
        <v>0</v>
      </c>
      <c r="DY75" s="251">
        <v>0</v>
      </c>
      <c r="DZ75" s="312"/>
      <c r="FD75" s="388">
        <f t="shared" si="129"/>
        <v>4742218.46</v>
      </c>
      <c r="FE75" s="388">
        <f>CK75+CU75+DE75+DO75+DY75+EI75+ES75+FC75+GJ75</f>
        <v>3319518.56</v>
      </c>
      <c r="FF75" s="159">
        <f t="shared" si="130"/>
        <v>1422699.9</v>
      </c>
      <c r="FG75" s="147">
        <f t="shared" si="131"/>
        <v>4742333</v>
      </c>
      <c r="FH75" s="147">
        <f t="shared" si="132"/>
        <v>4742218.46</v>
      </c>
      <c r="FI75" s="145">
        <f aca="true" t="shared" si="139" ref="FI75:FI85">FG75-FH75</f>
        <v>114.54000000003725</v>
      </c>
      <c r="FJ75" s="432">
        <f aca="true" t="shared" si="140" ref="FJ75:FJ84">FH75/FG75</f>
        <v>0.9999758473308391</v>
      </c>
      <c r="FK75" s="147">
        <f t="shared" si="133"/>
        <v>4742333</v>
      </c>
      <c r="FL75" s="147">
        <f aca="true" t="shared" si="141" ref="FL75:FL84">BQ75</f>
        <v>1422699.9</v>
      </c>
      <c r="FM75" s="135">
        <f>+CX75+CN75+CD75+DH75+DR75+EB75+EL75+GJ75</f>
        <v>3319518.56</v>
      </c>
      <c r="FN75" s="379">
        <f t="shared" si="135"/>
        <v>0.9999758473308391</v>
      </c>
      <c r="FO75" s="135">
        <f>+DH75+CX75+CN75+CD75+BQ75+DR75+EB75+GJ75</f>
        <v>4742218.46</v>
      </c>
      <c r="FP75" s="147">
        <f aca="true" t="shared" si="142" ref="FP75:FP84">FK75-FO75</f>
        <v>114.54000000003725</v>
      </c>
      <c r="FQ75" s="423">
        <f t="shared" si="137"/>
        <v>0.6999758473308391</v>
      </c>
      <c r="FR75" s="117">
        <f t="shared" si="138"/>
        <v>114.54000000003725</v>
      </c>
      <c r="FS75" s="135"/>
      <c r="FT75" s="406" t="s">
        <v>994</v>
      </c>
      <c r="FU75" s="490" t="s">
        <v>721</v>
      </c>
      <c r="FV75" s="584">
        <f>3378.47+3031.54+3031.54</f>
        <v>9441.55</v>
      </c>
      <c r="FW75" s="335">
        <v>40017</v>
      </c>
      <c r="FX75" s="587"/>
      <c r="FY75" s="593">
        <f>+FH75</f>
        <v>4742218.46</v>
      </c>
      <c r="FZ75" s="312">
        <f>+FH75-FO75</f>
        <v>0</v>
      </c>
      <c r="GA75" s="312">
        <f>+FZ75*0.85</f>
        <v>0</v>
      </c>
      <c r="GB75" s="312">
        <f>+FZ75*0.15</f>
        <v>0</v>
      </c>
      <c r="GC75" s="312">
        <f>+FG75-FH75</f>
        <v>114.54000000003725</v>
      </c>
      <c r="GD75" s="312">
        <f>+GC75*0.85</f>
        <v>97.35900000003166</v>
      </c>
      <c r="GE75" s="312">
        <f>+GC75*0.15</f>
        <v>17.181000000005586</v>
      </c>
      <c r="GF75" s="251">
        <v>525</v>
      </c>
      <c r="GG75" s="335">
        <v>40050</v>
      </c>
      <c r="GH75" s="337" t="s">
        <v>718</v>
      </c>
      <c r="GI75" s="335">
        <v>40064</v>
      </c>
      <c r="GJ75" s="312">
        <v>237002.11</v>
      </c>
    </row>
    <row r="76" spans="1:178" s="251" customFormat="1" ht="15" customHeight="1">
      <c r="A76" s="595"/>
      <c r="B76" s="633" t="s">
        <v>529</v>
      </c>
      <c r="C76" s="634"/>
      <c r="D76" s="240">
        <v>12</v>
      </c>
      <c r="E76" s="241" t="s">
        <v>552</v>
      </c>
      <c r="F76" s="241" t="s">
        <v>1184</v>
      </c>
      <c r="G76" s="241"/>
      <c r="H76" s="242">
        <v>3885000</v>
      </c>
      <c r="I76" s="243"/>
      <c r="J76" s="243"/>
      <c r="K76" s="243"/>
      <c r="L76" s="243"/>
      <c r="M76" s="135">
        <f t="shared" si="123"/>
        <v>3885000</v>
      </c>
      <c r="N76" s="122">
        <f t="shared" si="124"/>
        <v>3885000</v>
      </c>
      <c r="O76" s="135">
        <v>2776139.43</v>
      </c>
      <c r="P76" s="135">
        <f>+O76</f>
        <v>2776139.43</v>
      </c>
      <c r="Q76" s="122">
        <f>+P76*0.85</f>
        <v>2359718.5155</v>
      </c>
      <c r="R76" s="122">
        <f>+P76*0.15</f>
        <v>416420.9145</v>
      </c>
      <c r="S76" s="433" t="s">
        <v>1182</v>
      </c>
      <c r="T76" s="404">
        <f t="shared" si="125"/>
        <v>409560.56999999983</v>
      </c>
      <c r="U76" s="372">
        <f t="shared" si="126"/>
        <v>409035.38</v>
      </c>
      <c r="V76" s="243">
        <v>3185700</v>
      </c>
      <c r="W76" s="243"/>
      <c r="X76" s="243"/>
      <c r="Y76" s="122">
        <f t="shared" si="127"/>
        <v>3185700</v>
      </c>
      <c r="Z76" s="122">
        <f t="shared" si="128"/>
        <v>477855</v>
      </c>
      <c r="AA76" s="122">
        <f>+Y76*0.5</f>
        <v>1592850</v>
      </c>
      <c r="AB76" s="122">
        <f>+Y76*0.35</f>
        <v>1114995</v>
      </c>
      <c r="AC76" s="122">
        <f>+Y76*0.85</f>
        <v>2707845</v>
      </c>
      <c r="AD76" s="122">
        <v>0</v>
      </c>
      <c r="AE76" s="122">
        <f>K76</f>
        <v>0</v>
      </c>
      <c r="AF76" s="244">
        <v>38980</v>
      </c>
      <c r="AG76" s="246" t="s">
        <v>642</v>
      </c>
      <c r="AH76" s="245"/>
      <c r="AI76" s="246" t="s">
        <v>1325</v>
      </c>
      <c r="AJ76" s="244">
        <v>38981</v>
      </c>
      <c r="AK76" s="246">
        <v>116</v>
      </c>
      <c r="AL76" s="245"/>
      <c r="AM76" s="240"/>
      <c r="AN76" s="241" t="s">
        <v>1184</v>
      </c>
      <c r="AO76" s="240" t="s">
        <v>15</v>
      </c>
      <c r="AP76" s="241" t="s">
        <v>553</v>
      </c>
      <c r="AQ76" s="240">
        <v>9</v>
      </c>
      <c r="AR76" s="240">
        <v>70122</v>
      </c>
      <c r="AS76" s="247" t="s">
        <v>554</v>
      </c>
      <c r="AT76" s="247" t="s">
        <v>555</v>
      </c>
      <c r="AU76" s="241" t="s">
        <v>556</v>
      </c>
      <c r="AV76" s="332" t="s">
        <v>557</v>
      </c>
      <c r="AW76" s="250">
        <v>80015010723</v>
      </c>
      <c r="AX76" s="246"/>
      <c r="AY76" s="250" t="s">
        <v>496</v>
      </c>
      <c r="AZ76" s="250" t="s">
        <v>497</v>
      </c>
      <c r="BA76" s="626" t="s">
        <v>790</v>
      </c>
      <c r="BB76" s="626"/>
      <c r="BC76" s="444">
        <v>191</v>
      </c>
      <c r="BD76" s="445">
        <v>39252</v>
      </c>
      <c r="BE76" s="253">
        <v>39261</v>
      </c>
      <c r="BF76" s="333"/>
      <c r="BG76" s="253">
        <v>39265</v>
      </c>
      <c r="BH76" s="243"/>
      <c r="BJ76" s="251" t="s">
        <v>1301</v>
      </c>
      <c r="BK76" s="251" t="s">
        <v>1301</v>
      </c>
      <c r="BL76" s="334">
        <v>39260</v>
      </c>
      <c r="BP76" s="124">
        <v>39933</v>
      </c>
      <c r="BQ76" s="152">
        <v>407917.1</v>
      </c>
      <c r="BR76" s="123">
        <f>+AC76*0.3</f>
        <v>812353.5</v>
      </c>
      <c r="BS76" s="123">
        <f>+Z76*0.3</f>
        <v>143356.5</v>
      </c>
      <c r="BT76" s="251">
        <v>525</v>
      </c>
      <c r="BU76" s="335">
        <v>39765</v>
      </c>
      <c r="BV76" s="336"/>
      <c r="BY76" s="337" t="s">
        <v>315</v>
      </c>
      <c r="BZ76" s="335">
        <v>39784</v>
      </c>
      <c r="CA76" s="123">
        <f aca="true" t="shared" si="143" ref="CA76:CA85">+BQ76</f>
        <v>407917.1</v>
      </c>
      <c r="CB76" s="312">
        <v>144663.08</v>
      </c>
      <c r="CC76" s="338">
        <v>39969</v>
      </c>
      <c r="CD76" s="312">
        <v>0</v>
      </c>
      <c r="CE76" s="312"/>
      <c r="CF76" s="312"/>
      <c r="CG76" s="246"/>
      <c r="CH76" s="335"/>
      <c r="CK76" s="251">
        <v>0</v>
      </c>
      <c r="CL76" s="312">
        <v>264372.3</v>
      </c>
      <c r="CN76" s="312">
        <v>0</v>
      </c>
      <c r="CQ76" s="246"/>
      <c r="CU76" s="312">
        <v>0</v>
      </c>
      <c r="CV76" s="312"/>
      <c r="DA76" s="240"/>
      <c r="DZ76" s="312"/>
      <c r="FD76" s="388">
        <f t="shared" si="129"/>
        <v>407917.1</v>
      </c>
      <c r="FE76" s="388">
        <f aca="true" t="shared" si="144" ref="FE76:FE84">CK76+CU76+DE76+DO76+DY76+EI76+ES76+FC76+GJ76</f>
        <v>0</v>
      </c>
      <c r="FF76" s="159">
        <f t="shared" si="130"/>
        <v>407917.1</v>
      </c>
      <c r="FG76" s="147">
        <f t="shared" si="131"/>
        <v>409560.56999999983</v>
      </c>
      <c r="FH76" s="147">
        <f t="shared" si="132"/>
        <v>409035.38</v>
      </c>
      <c r="FI76" s="145">
        <f t="shared" si="139"/>
        <v>525.1899999998277</v>
      </c>
      <c r="FJ76" s="586">
        <f t="shared" si="140"/>
        <v>0.9987176744089408</v>
      </c>
      <c r="FK76" s="147">
        <f t="shared" si="133"/>
        <v>409560.56999999983</v>
      </c>
      <c r="FL76" s="147">
        <f t="shared" si="141"/>
        <v>407917.1</v>
      </c>
      <c r="FM76" s="135">
        <f t="shared" si="134"/>
        <v>0</v>
      </c>
      <c r="FN76" s="379">
        <f t="shared" si="135"/>
        <v>0.9959872357829762</v>
      </c>
      <c r="FO76" s="135">
        <f t="shared" si="136"/>
        <v>407917.1</v>
      </c>
      <c r="FP76" s="147">
        <f t="shared" si="142"/>
        <v>1643.4699999998556</v>
      </c>
      <c r="FQ76" s="423">
        <f t="shared" si="137"/>
        <v>0</v>
      </c>
      <c r="FR76" s="117">
        <f t="shared" si="138"/>
        <v>525.1899999998277</v>
      </c>
      <c r="FS76" s="312"/>
      <c r="FT76" s="312"/>
      <c r="FV76" s="312"/>
    </row>
    <row r="77" spans="1:178" s="251" customFormat="1" ht="15" customHeight="1">
      <c r="A77" s="595"/>
      <c r="B77" s="633"/>
      <c r="C77" s="634"/>
      <c r="D77" s="240">
        <v>12</v>
      </c>
      <c r="E77" s="241" t="s">
        <v>558</v>
      </c>
      <c r="F77" s="241" t="s">
        <v>559</v>
      </c>
      <c r="G77" s="241"/>
      <c r="H77" s="242">
        <v>1808100</v>
      </c>
      <c r="I77" s="243"/>
      <c r="J77" s="243"/>
      <c r="K77" s="243"/>
      <c r="L77" s="243"/>
      <c r="M77" s="135">
        <f t="shared" si="123"/>
        <v>1808100</v>
      </c>
      <c r="N77" s="122">
        <f t="shared" si="124"/>
        <v>1808100</v>
      </c>
      <c r="O77" s="135"/>
      <c r="P77" s="135"/>
      <c r="Q77" s="135"/>
      <c r="R77" s="135"/>
      <c r="S77" s="135"/>
      <c r="T77" s="404">
        <f t="shared" si="125"/>
        <v>1808100</v>
      </c>
      <c r="U77" s="372">
        <f t="shared" si="126"/>
        <v>0</v>
      </c>
      <c r="V77" s="243">
        <f>H77</f>
        <v>1808100</v>
      </c>
      <c r="W77" s="243"/>
      <c r="X77" s="243"/>
      <c r="Y77" s="122">
        <f t="shared" si="127"/>
        <v>1808100</v>
      </c>
      <c r="Z77" s="122">
        <f t="shared" si="128"/>
        <v>271215</v>
      </c>
      <c r="AA77" s="122">
        <f aca="true" t="shared" si="145" ref="AA77:AA84">+Y77*0.5</f>
        <v>904050</v>
      </c>
      <c r="AB77" s="122">
        <f aca="true" t="shared" si="146" ref="AB77:AB84">+Y77*0.35</f>
        <v>632835</v>
      </c>
      <c r="AC77" s="122">
        <f aca="true" t="shared" si="147" ref="AC77:AC84">+Y77*0.85</f>
        <v>1536885</v>
      </c>
      <c r="AD77" s="122">
        <f>+H77-Y77-K77</f>
        <v>0</v>
      </c>
      <c r="AE77" s="122">
        <f aca="true" t="shared" si="148" ref="AE77:AE84">K77</f>
        <v>0</v>
      </c>
      <c r="AF77" s="244">
        <v>39038</v>
      </c>
      <c r="AG77" s="246"/>
      <c r="AH77" s="245"/>
      <c r="AI77" s="246" t="s">
        <v>99</v>
      </c>
      <c r="AJ77" s="244">
        <v>39038</v>
      </c>
      <c r="AK77" s="246">
        <v>1134</v>
      </c>
      <c r="AL77" s="245"/>
      <c r="AM77" s="240"/>
      <c r="AN77" s="241" t="s">
        <v>559</v>
      </c>
      <c r="AO77" s="240" t="s">
        <v>560</v>
      </c>
      <c r="AP77" s="241" t="s">
        <v>398</v>
      </c>
      <c r="AQ77" s="240">
        <v>5</v>
      </c>
      <c r="AR77" s="240">
        <v>71046</v>
      </c>
      <c r="AS77" s="247" t="s">
        <v>561</v>
      </c>
      <c r="AT77" s="247" t="s">
        <v>562</v>
      </c>
      <c r="AU77" s="241" t="s">
        <v>459</v>
      </c>
      <c r="AV77" s="240" t="s">
        <v>563</v>
      </c>
      <c r="AW77" s="250">
        <v>81000710715</v>
      </c>
      <c r="AX77" s="246"/>
      <c r="AY77" s="250" t="s">
        <v>1138</v>
      </c>
      <c r="AZ77" s="250"/>
      <c r="BA77" s="624" t="s">
        <v>1031</v>
      </c>
      <c r="BB77" s="624"/>
      <c r="BC77" s="444">
        <v>427</v>
      </c>
      <c r="BD77" s="445">
        <v>39409</v>
      </c>
      <c r="BE77" s="253">
        <v>39412</v>
      </c>
      <c r="BF77" s="278">
        <v>7421</v>
      </c>
      <c r="BG77" s="253">
        <v>39701</v>
      </c>
      <c r="BH77" s="243"/>
      <c r="BJ77" s="251" t="s">
        <v>1301</v>
      </c>
      <c r="BK77" s="251" t="s">
        <v>1301</v>
      </c>
      <c r="BL77" s="334">
        <v>39531</v>
      </c>
      <c r="BM77" s="335">
        <v>39696</v>
      </c>
      <c r="BN77" s="335">
        <v>39533</v>
      </c>
      <c r="BO77" s="251">
        <f>6.2</f>
        <v>6.2</v>
      </c>
      <c r="BP77" s="124">
        <v>39979</v>
      </c>
      <c r="BQ77" s="152">
        <f>+Y77*0.3</f>
        <v>542430</v>
      </c>
      <c r="BR77" s="123">
        <f>+AC77*0.3</f>
        <v>461065.5</v>
      </c>
      <c r="BS77" s="123">
        <f>+Z77*0.3</f>
        <v>81364.5</v>
      </c>
      <c r="BT77" s="336">
        <v>357</v>
      </c>
      <c r="BU77" s="335">
        <v>39713</v>
      </c>
      <c r="BY77" s="337" t="s">
        <v>1021</v>
      </c>
      <c r="BZ77" s="335">
        <v>39730</v>
      </c>
      <c r="CA77" s="123">
        <f t="shared" si="143"/>
        <v>542430</v>
      </c>
      <c r="CB77" s="312"/>
      <c r="CC77" s="585"/>
      <c r="CD77" s="312"/>
      <c r="CE77" s="143"/>
      <c r="CF77" s="143"/>
      <c r="CG77" s="246"/>
      <c r="CH77" s="335"/>
      <c r="CK77" s="312"/>
      <c r="CL77" s="312"/>
      <c r="CN77" s="312"/>
      <c r="CQ77" s="246"/>
      <c r="CV77" s="312"/>
      <c r="DA77" s="240"/>
      <c r="DZ77" s="312"/>
      <c r="FD77" s="388">
        <f t="shared" si="129"/>
        <v>542430</v>
      </c>
      <c r="FE77" s="388">
        <f t="shared" si="144"/>
        <v>0</v>
      </c>
      <c r="FF77" s="159">
        <f t="shared" si="130"/>
        <v>542430</v>
      </c>
      <c r="FG77" s="147">
        <f t="shared" si="131"/>
        <v>1808100</v>
      </c>
      <c r="FH77" s="147">
        <f t="shared" si="132"/>
        <v>0</v>
      </c>
      <c r="FI77" s="145">
        <f t="shared" si="139"/>
        <v>1808100</v>
      </c>
      <c r="FJ77" s="421">
        <f t="shared" si="140"/>
        <v>0</v>
      </c>
      <c r="FK77" s="147">
        <f t="shared" si="133"/>
        <v>1808100</v>
      </c>
      <c r="FL77" s="147">
        <f t="shared" si="141"/>
        <v>542430</v>
      </c>
      <c r="FM77" s="135">
        <f t="shared" si="134"/>
        <v>0</v>
      </c>
      <c r="FN77" s="421">
        <f t="shared" si="135"/>
        <v>0.3</v>
      </c>
      <c r="FO77" s="135">
        <f t="shared" si="136"/>
        <v>542430</v>
      </c>
      <c r="FP77" s="147">
        <f t="shared" si="142"/>
        <v>1265670</v>
      </c>
      <c r="FQ77" s="423">
        <f t="shared" si="137"/>
        <v>0</v>
      </c>
      <c r="FR77" s="117">
        <f t="shared" si="138"/>
        <v>1808100</v>
      </c>
      <c r="FS77" s="312"/>
      <c r="FT77" s="312"/>
      <c r="FU77" s="312"/>
      <c r="FV77" s="312">
        <f>+FV75+FV74+FW18+FW20</f>
        <v>36079.78</v>
      </c>
    </row>
    <row r="78" spans="1:178" s="251" customFormat="1" ht="15" customHeight="1">
      <c r="A78" s="595"/>
      <c r="B78" s="633"/>
      <c r="C78" s="634"/>
      <c r="D78" s="240">
        <v>12</v>
      </c>
      <c r="E78" s="241" t="s">
        <v>564</v>
      </c>
      <c r="F78" s="241" t="s">
        <v>1200</v>
      </c>
      <c r="G78" s="241"/>
      <c r="H78" s="242">
        <v>1033200</v>
      </c>
      <c r="I78" s="243"/>
      <c r="J78" s="243"/>
      <c r="K78" s="243"/>
      <c r="L78" s="243"/>
      <c r="M78" s="135">
        <f t="shared" si="123"/>
        <v>1033200</v>
      </c>
      <c r="N78" s="122">
        <f t="shared" si="124"/>
        <v>1033200</v>
      </c>
      <c r="O78" s="135">
        <v>176362.94</v>
      </c>
      <c r="P78" s="135">
        <f>+O78</f>
        <v>176362.94</v>
      </c>
      <c r="Q78" s="122">
        <f>+P78*0.85</f>
        <v>149908.499</v>
      </c>
      <c r="R78" s="122">
        <f>+P78*0.15</f>
        <v>26454.441</v>
      </c>
      <c r="S78" s="433" t="s">
        <v>1383</v>
      </c>
      <c r="T78" s="404">
        <f t="shared" si="125"/>
        <v>856837.06</v>
      </c>
      <c r="U78" s="372">
        <f t="shared" si="126"/>
        <v>938631</v>
      </c>
      <c r="V78" s="243">
        <f>H78</f>
        <v>1033200</v>
      </c>
      <c r="W78" s="243"/>
      <c r="X78" s="243"/>
      <c r="Y78" s="122">
        <f t="shared" si="127"/>
        <v>1033200</v>
      </c>
      <c r="Z78" s="122">
        <f t="shared" si="128"/>
        <v>154980</v>
      </c>
      <c r="AA78" s="122">
        <f t="shared" si="145"/>
        <v>516600</v>
      </c>
      <c r="AB78" s="122">
        <f t="shared" si="146"/>
        <v>361620</v>
      </c>
      <c r="AC78" s="122">
        <f t="shared" si="147"/>
        <v>878220</v>
      </c>
      <c r="AD78" s="122">
        <f>+H78-Y78-K78</f>
        <v>0</v>
      </c>
      <c r="AE78" s="122">
        <f t="shared" si="148"/>
        <v>0</v>
      </c>
      <c r="AF78" s="244">
        <v>39006</v>
      </c>
      <c r="AG78" s="250" t="s">
        <v>643</v>
      </c>
      <c r="AH78" s="245"/>
      <c r="AI78" s="246" t="s">
        <v>1325</v>
      </c>
      <c r="AJ78" s="244">
        <v>39006</v>
      </c>
      <c r="AK78" s="246">
        <v>532</v>
      </c>
      <c r="AL78" s="245"/>
      <c r="AM78" s="240"/>
      <c r="AN78" s="241" t="s">
        <v>1200</v>
      </c>
      <c r="AO78" s="240" t="s">
        <v>14</v>
      </c>
      <c r="AP78" s="241" t="s">
        <v>4</v>
      </c>
      <c r="AQ78" s="240">
        <v>3</v>
      </c>
      <c r="AR78" s="240">
        <v>72100</v>
      </c>
      <c r="AS78" s="247" t="s">
        <v>565</v>
      </c>
      <c r="AT78" s="247" t="s">
        <v>566</v>
      </c>
      <c r="AU78" s="241" t="s">
        <v>567</v>
      </c>
      <c r="AV78" s="332" t="s">
        <v>568</v>
      </c>
      <c r="AW78" s="250">
        <v>80000250748</v>
      </c>
      <c r="AX78" s="246"/>
      <c r="AY78" s="250" t="s">
        <v>770</v>
      </c>
      <c r="AZ78" s="250" t="s">
        <v>771</v>
      </c>
      <c r="BA78" s="249" t="s">
        <v>772</v>
      </c>
      <c r="BB78" s="250" t="s">
        <v>774</v>
      </c>
      <c r="BC78" s="451">
        <v>231</v>
      </c>
      <c r="BD78" s="445">
        <v>39287</v>
      </c>
      <c r="BE78" s="253">
        <v>39330</v>
      </c>
      <c r="BF78" s="333"/>
      <c r="BG78" s="253">
        <v>39392</v>
      </c>
      <c r="BH78" s="243"/>
      <c r="BJ78" s="251" t="s">
        <v>1301</v>
      </c>
      <c r="BK78" s="251" t="s">
        <v>1301</v>
      </c>
      <c r="BL78" s="334">
        <v>39384</v>
      </c>
      <c r="BM78" s="335">
        <v>39386</v>
      </c>
      <c r="BN78" s="335">
        <v>39328</v>
      </c>
      <c r="BO78" s="251">
        <f>13+1.3</f>
        <v>14.3</v>
      </c>
      <c r="BP78" s="124">
        <v>39994</v>
      </c>
      <c r="BQ78" s="152">
        <f aca="true" t="shared" si="149" ref="BQ78:BQ84">+Y78*0.3</f>
        <v>309960</v>
      </c>
      <c r="BR78" s="123">
        <f aca="true" t="shared" si="150" ref="BR78:BR84">+AC78*0.3</f>
        <v>263466</v>
      </c>
      <c r="BS78" s="123">
        <f aca="true" t="shared" si="151" ref="BS78:BS84">+Z78*0.3</f>
        <v>46494</v>
      </c>
      <c r="BT78" s="339">
        <v>480</v>
      </c>
      <c r="BU78" s="335">
        <v>39427</v>
      </c>
      <c r="BV78" s="406"/>
      <c r="BY78" s="337" t="s">
        <v>1085</v>
      </c>
      <c r="BZ78" s="335">
        <v>39434</v>
      </c>
      <c r="CA78" s="123">
        <f t="shared" si="143"/>
        <v>309960</v>
      </c>
      <c r="CB78" s="312">
        <v>938631</v>
      </c>
      <c r="CC78" s="585"/>
      <c r="CD78" s="312"/>
      <c r="CE78" s="312"/>
      <c r="CF78" s="312"/>
      <c r="CG78" s="246"/>
      <c r="CH78" s="335"/>
      <c r="CK78" s="312">
        <f aca="true" t="shared" si="152" ref="CK78:CK84">+CD78</f>
        <v>0</v>
      </c>
      <c r="CL78" s="312"/>
      <c r="CN78" s="312"/>
      <c r="CQ78" s="246"/>
      <c r="CV78" s="312"/>
      <c r="DA78" s="240"/>
      <c r="DZ78" s="312"/>
      <c r="FD78" s="388">
        <f t="shared" si="129"/>
        <v>309960</v>
      </c>
      <c r="FE78" s="388">
        <f t="shared" si="144"/>
        <v>0</v>
      </c>
      <c r="FF78" s="159">
        <f t="shared" si="130"/>
        <v>309960</v>
      </c>
      <c r="FG78" s="147">
        <f t="shared" si="131"/>
        <v>856837.06</v>
      </c>
      <c r="FH78" s="147">
        <f t="shared" si="132"/>
        <v>938631</v>
      </c>
      <c r="FI78" s="145">
        <f t="shared" si="139"/>
        <v>-81793.93999999994</v>
      </c>
      <c r="FJ78" s="586">
        <f t="shared" si="140"/>
        <v>1.0954603200753243</v>
      </c>
      <c r="FK78" s="147">
        <f t="shared" si="133"/>
        <v>856837.06</v>
      </c>
      <c r="FL78" s="147">
        <f t="shared" si="141"/>
        <v>309960</v>
      </c>
      <c r="FM78" s="135">
        <f t="shared" si="134"/>
        <v>0</v>
      </c>
      <c r="FN78" s="421">
        <f t="shared" si="135"/>
        <v>0.36174905880004765</v>
      </c>
      <c r="FO78" s="135">
        <f t="shared" si="136"/>
        <v>309960</v>
      </c>
      <c r="FP78" s="147">
        <f t="shared" si="142"/>
        <v>546877.06</v>
      </c>
      <c r="FQ78" s="423">
        <f t="shared" si="137"/>
        <v>0</v>
      </c>
      <c r="FR78" s="117">
        <f t="shared" si="138"/>
        <v>-81793.93999999994</v>
      </c>
      <c r="FS78" s="312"/>
      <c r="FU78" s="312"/>
      <c r="FV78" s="312"/>
    </row>
    <row r="79" spans="1:178" s="251" customFormat="1" ht="15" customHeight="1">
      <c r="A79" s="595"/>
      <c r="B79" s="633"/>
      <c r="C79" s="634"/>
      <c r="D79" s="240">
        <v>12</v>
      </c>
      <c r="E79" s="241" t="s">
        <v>569</v>
      </c>
      <c r="F79" s="241" t="s">
        <v>570</v>
      </c>
      <c r="G79" s="241"/>
      <c r="H79" s="242">
        <v>947100</v>
      </c>
      <c r="I79" s="243"/>
      <c r="J79" s="243"/>
      <c r="K79" s="243"/>
      <c r="L79" s="243"/>
      <c r="M79" s="135">
        <f t="shared" si="123"/>
        <v>947100</v>
      </c>
      <c r="N79" s="122">
        <f t="shared" si="124"/>
        <v>947100</v>
      </c>
      <c r="O79" s="135"/>
      <c r="P79" s="135"/>
      <c r="Q79" s="135"/>
      <c r="R79" s="135"/>
      <c r="S79" s="135"/>
      <c r="T79" s="404">
        <f t="shared" si="125"/>
        <v>947100</v>
      </c>
      <c r="U79" s="372">
        <f t="shared" si="126"/>
        <v>694940</v>
      </c>
      <c r="V79" s="243">
        <f>H79</f>
        <v>947100</v>
      </c>
      <c r="W79" s="243"/>
      <c r="X79" s="243"/>
      <c r="Y79" s="122">
        <f t="shared" si="127"/>
        <v>947100</v>
      </c>
      <c r="Z79" s="122">
        <f t="shared" si="128"/>
        <v>142065</v>
      </c>
      <c r="AA79" s="122">
        <f t="shared" si="145"/>
        <v>473550</v>
      </c>
      <c r="AB79" s="122">
        <f t="shared" si="146"/>
        <v>331485</v>
      </c>
      <c r="AC79" s="122">
        <f t="shared" si="147"/>
        <v>805035</v>
      </c>
      <c r="AD79" s="122">
        <f>+H79-Y79-K79</f>
        <v>0</v>
      </c>
      <c r="AE79" s="122">
        <f t="shared" si="148"/>
        <v>0</v>
      </c>
      <c r="AF79" s="244">
        <v>39002</v>
      </c>
      <c r="AG79" s="246"/>
      <c r="AH79" s="245"/>
      <c r="AI79" s="246" t="s">
        <v>1325</v>
      </c>
      <c r="AJ79" s="244">
        <v>39008</v>
      </c>
      <c r="AK79" s="246">
        <v>11816</v>
      </c>
      <c r="AL79" s="245"/>
      <c r="AM79" s="240"/>
      <c r="AN79" s="241" t="s">
        <v>570</v>
      </c>
      <c r="AO79" s="240" t="s">
        <v>1275</v>
      </c>
      <c r="AP79" s="241" t="s">
        <v>571</v>
      </c>
      <c r="AQ79" s="240">
        <v>54</v>
      </c>
      <c r="AR79" s="240">
        <v>73029</v>
      </c>
      <c r="AS79" s="241" t="s">
        <v>710</v>
      </c>
      <c r="AT79" s="247" t="s">
        <v>690</v>
      </c>
      <c r="AU79" s="241" t="s">
        <v>75</v>
      </c>
      <c r="AV79" s="332" t="s">
        <v>712</v>
      </c>
      <c r="AW79" s="250">
        <v>80010490755</v>
      </c>
      <c r="AX79" s="246"/>
      <c r="AY79" s="250" t="s">
        <v>229</v>
      </c>
      <c r="AZ79" s="250"/>
      <c r="BA79" s="624" t="s">
        <v>230</v>
      </c>
      <c r="BB79" s="624"/>
      <c r="BC79" s="451">
        <v>251</v>
      </c>
      <c r="BD79" s="445">
        <v>39324</v>
      </c>
      <c r="BE79" s="253">
        <v>39329</v>
      </c>
      <c r="BF79" s="277"/>
      <c r="BG79" s="253">
        <v>39353</v>
      </c>
      <c r="BH79" s="243"/>
      <c r="BJ79" s="251" t="s">
        <v>1301</v>
      </c>
      <c r="BK79" s="251" t="s">
        <v>1301</v>
      </c>
      <c r="BL79" s="253">
        <v>39353</v>
      </c>
      <c r="BM79" s="335">
        <v>39388</v>
      </c>
      <c r="BN79" s="335">
        <v>39177</v>
      </c>
      <c r="BO79" s="251">
        <v>18</v>
      </c>
      <c r="BP79" s="124">
        <f>BN79+(BO79*365/12)</f>
        <v>39724.5</v>
      </c>
      <c r="BQ79" s="152">
        <f t="shared" si="149"/>
        <v>284130</v>
      </c>
      <c r="BR79" s="123">
        <f t="shared" si="150"/>
        <v>241510.5</v>
      </c>
      <c r="BS79" s="123">
        <f t="shared" si="151"/>
        <v>42619.5</v>
      </c>
      <c r="BT79" s="339">
        <v>464</v>
      </c>
      <c r="BU79" s="335">
        <v>39420</v>
      </c>
      <c r="BV79" s="336"/>
      <c r="BY79" s="337" t="s">
        <v>1086</v>
      </c>
      <c r="BZ79" s="335">
        <v>39434</v>
      </c>
      <c r="CA79" s="123">
        <f t="shared" si="143"/>
        <v>284130</v>
      </c>
      <c r="CB79" s="312">
        <v>694940</v>
      </c>
      <c r="CC79" s="338">
        <v>40007</v>
      </c>
      <c r="CD79" s="312">
        <v>615615</v>
      </c>
      <c r="CE79" s="143">
        <f aca="true" t="shared" si="153" ref="CE79:CE84">+CD79*0.85</f>
        <v>523272.75</v>
      </c>
      <c r="CF79" s="143">
        <f aca="true" t="shared" si="154" ref="CF79:CF84">+CD79*0.15</f>
        <v>92342.25</v>
      </c>
      <c r="CG79" s="246">
        <v>551</v>
      </c>
      <c r="CH79" s="335">
        <v>40067</v>
      </c>
      <c r="CI79" s="336" t="s">
        <v>645</v>
      </c>
      <c r="CK79" s="312">
        <f t="shared" si="152"/>
        <v>615615</v>
      </c>
      <c r="CL79" s="312"/>
      <c r="CN79" s="312"/>
      <c r="CQ79" s="246"/>
      <c r="CV79" s="312"/>
      <c r="DA79" s="240"/>
      <c r="DZ79" s="312"/>
      <c r="FD79" s="388">
        <f t="shared" si="129"/>
        <v>899745</v>
      </c>
      <c r="FE79" s="388">
        <f t="shared" si="144"/>
        <v>615615</v>
      </c>
      <c r="FF79" s="159">
        <f t="shared" si="130"/>
        <v>284130</v>
      </c>
      <c r="FG79" s="147">
        <f t="shared" si="131"/>
        <v>947100</v>
      </c>
      <c r="FH79" s="147">
        <f t="shared" si="132"/>
        <v>694940</v>
      </c>
      <c r="FI79" s="145">
        <f t="shared" si="139"/>
        <v>252160</v>
      </c>
      <c r="FJ79" s="421">
        <f t="shared" si="140"/>
        <v>0.7337556752190898</v>
      </c>
      <c r="FK79" s="147">
        <f t="shared" si="133"/>
        <v>947100</v>
      </c>
      <c r="FL79" s="147">
        <f t="shared" si="141"/>
        <v>284130</v>
      </c>
      <c r="FM79" s="135">
        <f t="shared" si="134"/>
        <v>615615</v>
      </c>
      <c r="FN79" s="421">
        <f t="shared" si="135"/>
        <v>0.95</v>
      </c>
      <c r="FO79" s="135">
        <f t="shared" si="136"/>
        <v>899745</v>
      </c>
      <c r="FP79" s="147">
        <f t="shared" si="142"/>
        <v>47355</v>
      </c>
      <c r="FQ79" s="423">
        <f t="shared" si="137"/>
        <v>0.65</v>
      </c>
      <c r="FR79" s="117">
        <f t="shared" si="138"/>
        <v>252160</v>
      </c>
      <c r="FS79" s="312">
        <f>+FG79*0.95</f>
        <v>899745</v>
      </c>
      <c r="FT79" s="312">
        <f>+FS79-FO79</f>
        <v>0</v>
      </c>
      <c r="FU79" s="312"/>
      <c r="FV79" s="312"/>
    </row>
    <row r="80" spans="1:178" s="251" customFormat="1" ht="15" customHeight="1">
      <c r="A80" s="595"/>
      <c r="B80" s="633"/>
      <c r="C80" s="634"/>
      <c r="D80" s="240">
        <v>12</v>
      </c>
      <c r="E80" s="241" t="s">
        <v>572</v>
      </c>
      <c r="F80" s="241" t="s">
        <v>1192</v>
      </c>
      <c r="G80" s="241"/>
      <c r="H80" s="242">
        <v>1635900</v>
      </c>
      <c r="I80" s="243"/>
      <c r="J80" s="243"/>
      <c r="K80" s="243"/>
      <c r="L80" s="243"/>
      <c r="M80" s="135">
        <f t="shared" si="123"/>
        <v>1635900</v>
      </c>
      <c r="N80" s="122">
        <f t="shared" si="124"/>
        <v>1635900</v>
      </c>
      <c r="O80" s="135"/>
      <c r="P80" s="135"/>
      <c r="Q80" s="135"/>
      <c r="R80" s="135"/>
      <c r="S80" s="135"/>
      <c r="T80" s="404">
        <f t="shared" si="125"/>
        <v>1635900</v>
      </c>
      <c r="U80" s="372">
        <f t="shared" si="126"/>
        <v>1635898.81</v>
      </c>
      <c r="V80" s="243">
        <f>H80</f>
        <v>1635900</v>
      </c>
      <c r="W80" s="243"/>
      <c r="X80" s="243"/>
      <c r="Y80" s="122">
        <f t="shared" si="127"/>
        <v>1635900</v>
      </c>
      <c r="Z80" s="122">
        <f t="shared" si="128"/>
        <v>245385</v>
      </c>
      <c r="AA80" s="122">
        <f t="shared" si="145"/>
        <v>817950</v>
      </c>
      <c r="AB80" s="122">
        <f t="shared" si="146"/>
        <v>572565</v>
      </c>
      <c r="AC80" s="122">
        <f t="shared" si="147"/>
        <v>1390515</v>
      </c>
      <c r="AD80" s="122">
        <f>+H80-Y80-K80</f>
        <v>0</v>
      </c>
      <c r="AE80" s="122">
        <f t="shared" si="148"/>
        <v>0</v>
      </c>
      <c r="AF80" s="244">
        <v>39001</v>
      </c>
      <c r="AG80" s="246">
        <v>36035</v>
      </c>
      <c r="AH80" s="245"/>
      <c r="AI80" s="246" t="s">
        <v>1325</v>
      </c>
      <c r="AJ80" s="244">
        <v>39002</v>
      </c>
      <c r="AK80" s="246">
        <v>482</v>
      </c>
      <c r="AL80" s="245"/>
      <c r="AM80" s="240"/>
      <c r="AN80" s="241" t="s">
        <v>1192</v>
      </c>
      <c r="AO80" s="240" t="s">
        <v>17</v>
      </c>
      <c r="AP80" s="241" t="s">
        <v>573</v>
      </c>
      <c r="AQ80" s="240">
        <v>74</v>
      </c>
      <c r="AR80" s="240">
        <v>71036</v>
      </c>
      <c r="AS80" s="247" t="s">
        <v>715</v>
      </c>
      <c r="AT80" s="247" t="s">
        <v>716</v>
      </c>
      <c r="AU80" s="241" t="s">
        <v>1116</v>
      </c>
      <c r="AV80" s="332" t="s">
        <v>574</v>
      </c>
      <c r="AW80" s="250">
        <v>82000950715</v>
      </c>
      <c r="AX80" s="246"/>
      <c r="AY80" s="250" t="s">
        <v>775</v>
      </c>
      <c r="AZ80" s="250" t="s">
        <v>776</v>
      </c>
      <c r="BA80" s="624" t="s">
        <v>38</v>
      </c>
      <c r="BB80" s="626"/>
      <c r="BC80" s="444">
        <v>165</v>
      </c>
      <c r="BD80" s="445">
        <v>39238</v>
      </c>
      <c r="BE80" s="253">
        <v>39251</v>
      </c>
      <c r="BF80" s="333"/>
      <c r="BG80" s="253">
        <v>39250</v>
      </c>
      <c r="BH80" s="243"/>
      <c r="BJ80" s="251" t="s">
        <v>1301</v>
      </c>
      <c r="BK80" s="251" t="s">
        <v>1301</v>
      </c>
      <c r="BL80" s="334">
        <v>39275</v>
      </c>
      <c r="BM80" s="335">
        <v>39398</v>
      </c>
      <c r="BN80" s="335">
        <v>39001</v>
      </c>
      <c r="BO80" s="251">
        <f>18+6.7</f>
        <v>24.7</v>
      </c>
      <c r="BP80" s="124">
        <v>39979</v>
      </c>
      <c r="BQ80" s="152">
        <f t="shared" si="149"/>
        <v>490770</v>
      </c>
      <c r="BR80" s="123">
        <f t="shared" si="150"/>
        <v>417154.5</v>
      </c>
      <c r="BS80" s="123">
        <f t="shared" si="151"/>
        <v>73615.5</v>
      </c>
      <c r="BT80" s="339">
        <v>496</v>
      </c>
      <c r="BU80" s="335">
        <v>39440</v>
      </c>
      <c r="BY80" s="337" t="s">
        <v>777</v>
      </c>
      <c r="BZ80" s="335">
        <v>39440</v>
      </c>
      <c r="CA80" s="123">
        <f t="shared" si="143"/>
        <v>490770</v>
      </c>
      <c r="CB80" s="407">
        <v>976509.98</v>
      </c>
      <c r="CC80" s="338">
        <v>39762</v>
      </c>
      <c r="CD80" s="312">
        <f>+CB80</f>
        <v>976509.98</v>
      </c>
      <c r="CE80" s="143">
        <f t="shared" si="153"/>
        <v>830033.483</v>
      </c>
      <c r="CF80" s="143">
        <f t="shared" si="154"/>
        <v>146476.497</v>
      </c>
      <c r="CG80" s="246">
        <v>601</v>
      </c>
      <c r="CH80" s="335">
        <v>39780</v>
      </c>
      <c r="CI80" s="337" t="s">
        <v>307</v>
      </c>
      <c r="CJ80" s="335">
        <v>39821</v>
      </c>
      <c r="CK80" s="312">
        <f t="shared" si="152"/>
        <v>976509.98</v>
      </c>
      <c r="CL80" s="312">
        <v>608940.89</v>
      </c>
      <c r="CM80" s="335">
        <v>39994</v>
      </c>
      <c r="CN80" s="312">
        <v>86825.02</v>
      </c>
      <c r="CO80" s="143">
        <f>+CN80*0.85</f>
        <v>73801.267</v>
      </c>
      <c r="CP80" s="143">
        <f>+CN80*0.15</f>
        <v>13023.753</v>
      </c>
      <c r="CQ80" s="246">
        <v>553</v>
      </c>
      <c r="CR80" s="335">
        <v>40067</v>
      </c>
      <c r="CS80" s="337" t="s">
        <v>71</v>
      </c>
      <c r="CT80" s="335">
        <v>40085</v>
      </c>
      <c r="CU80" s="258">
        <f>+CN80</f>
        <v>86825.02</v>
      </c>
      <c r="CV80" s="312">
        <v>50447.94</v>
      </c>
      <c r="CW80" s="335">
        <v>40070</v>
      </c>
      <c r="CX80" s="251">
        <v>0</v>
      </c>
      <c r="CY80" s="251">
        <v>0</v>
      </c>
      <c r="CZ80" s="251">
        <v>0</v>
      </c>
      <c r="DA80" s="240"/>
      <c r="DE80" s="251">
        <v>0</v>
      </c>
      <c r="DZ80" s="312"/>
      <c r="FD80" s="388">
        <f t="shared" si="129"/>
        <v>1554105</v>
      </c>
      <c r="FE80" s="388">
        <f t="shared" si="144"/>
        <v>1063335</v>
      </c>
      <c r="FF80" s="159">
        <f t="shared" si="130"/>
        <v>490770</v>
      </c>
      <c r="FG80" s="147">
        <f t="shared" si="131"/>
        <v>1635900</v>
      </c>
      <c r="FH80" s="147">
        <f t="shared" si="132"/>
        <v>1635898.81</v>
      </c>
      <c r="FI80" s="145">
        <f t="shared" si="139"/>
        <v>1.1899999999441206</v>
      </c>
      <c r="FJ80" s="586">
        <f t="shared" si="140"/>
        <v>0.9999992725716731</v>
      </c>
      <c r="FK80" s="147">
        <f t="shared" si="133"/>
        <v>1635900</v>
      </c>
      <c r="FL80" s="147">
        <f t="shared" si="141"/>
        <v>490770</v>
      </c>
      <c r="FM80" s="135">
        <f t="shared" si="134"/>
        <v>1063335</v>
      </c>
      <c r="FN80" s="421">
        <f t="shared" si="135"/>
        <v>0.95</v>
      </c>
      <c r="FO80" s="135">
        <f t="shared" si="136"/>
        <v>1554105</v>
      </c>
      <c r="FP80" s="147">
        <f t="shared" si="142"/>
        <v>81795</v>
      </c>
      <c r="FQ80" s="423">
        <f t="shared" si="137"/>
        <v>0.65</v>
      </c>
      <c r="FR80" s="117">
        <f t="shared" si="138"/>
        <v>1.1899999999441206</v>
      </c>
      <c r="FS80" s="312"/>
      <c r="FT80" s="312">
        <f>+FK80*0.95</f>
        <v>1554105</v>
      </c>
      <c r="FU80" s="312">
        <f>+FT80-FO80</f>
        <v>0</v>
      </c>
      <c r="FV80" s="312"/>
    </row>
    <row r="81" spans="1:178" s="120" customFormat="1" ht="15" customHeight="1">
      <c r="A81" s="602"/>
      <c r="B81" s="630" t="s">
        <v>530</v>
      </c>
      <c r="C81" s="632"/>
      <c r="D81" s="120">
        <v>13</v>
      </c>
      <c r="E81" s="121" t="s">
        <v>575</v>
      </c>
      <c r="F81" s="121" t="s">
        <v>577</v>
      </c>
      <c r="H81" s="123">
        <v>5330000</v>
      </c>
      <c r="I81" s="123"/>
      <c r="J81" s="123"/>
      <c r="K81" s="123"/>
      <c r="L81" s="123"/>
      <c r="M81" s="123">
        <f t="shared" si="123"/>
        <v>5330000</v>
      </c>
      <c r="N81" s="122">
        <f t="shared" si="124"/>
        <v>5330000</v>
      </c>
      <c r="O81" s="123"/>
      <c r="P81" s="123"/>
      <c r="Q81" s="123"/>
      <c r="R81" s="123"/>
      <c r="S81" s="123"/>
      <c r="T81" s="404">
        <f t="shared" si="125"/>
        <v>5330000</v>
      </c>
      <c r="U81" s="372">
        <f t="shared" si="126"/>
        <v>5218006.3</v>
      </c>
      <c r="V81" s="123">
        <f>H81</f>
        <v>5330000</v>
      </c>
      <c r="W81" s="123"/>
      <c r="X81" s="123"/>
      <c r="Y81" s="123">
        <f t="shared" si="127"/>
        <v>5330000</v>
      </c>
      <c r="Z81" s="123">
        <f t="shared" si="128"/>
        <v>799500</v>
      </c>
      <c r="AA81" s="123">
        <f t="shared" si="145"/>
        <v>2665000</v>
      </c>
      <c r="AB81" s="123">
        <f t="shared" si="146"/>
        <v>1865499.9999999998</v>
      </c>
      <c r="AC81" s="123">
        <f t="shared" si="147"/>
        <v>4530500</v>
      </c>
      <c r="AD81" s="122">
        <f>+H81-Y81-K81</f>
        <v>0</v>
      </c>
      <c r="AE81" s="122">
        <f t="shared" si="148"/>
        <v>0</v>
      </c>
      <c r="AF81" s="124">
        <v>39120</v>
      </c>
      <c r="AG81" s="125">
        <v>2082</v>
      </c>
      <c r="AH81" s="126"/>
      <c r="AI81" s="125" t="s">
        <v>1325</v>
      </c>
      <c r="AJ81" s="124">
        <v>39126</v>
      </c>
      <c r="AK81" s="125">
        <v>933</v>
      </c>
      <c r="AL81" s="126"/>
      <c r="AN81" s="120" t="s">
        <v>577</v>
      </c>
      <c r="AO81" s="120" t="s">
        <v>548</v>
      </c>
      <c r="AP81" s="120" t="s">
        <v>578</v>
      </c>
      <c r="AQ81" s="120">
        <v>2</v>
      </c>
      <c r="AR81" s="120">
        <v>74014</v>
      </c>
      <c r="AS81" s="163" t="s">
        <v>664</v>
      </c>
      <c r="AT81" s="163" t="s">
        <v>665</v>
      </c>
      <c r="AU81" s="121" t="s">
        <v>685</v>
      </c>
      <c r="AV81" s="340" t="s">
        <v>663</v>
      </c>
      <c r="AW81" s="129" t="s">
        <v>657</v>
      </c>
      <c r="AX81" s="125"/>
      <c r="AY81" s="176" t="s">
        <v>243</v>
      </c>
      <c r="AZ81" s="176" t="s">
        <v>244</v>
      </c>
      <c r="BA81" s="609" t="s">
        <v>1103</v>
      </c>
      <c r="BB81" s="609"/>
      <c r="BC81" s="438">
        <v>166</v>
      </c>
      <c r="BD81" s="439">
        <v>39238</v>
      </c>
      <c r="BE81" s="131">
        <v>39251</v>
      </c>
      <c r="BF81" s="114"/>
      <c r="BG81" s="131">
        <v>39251</v>
      </c>
      <c r="BH81" s="123"/>
      <c r="BJ81" s="120" t="s">
        <v>1301</v>
      </c>
      <c r="BK81" s="120" t="s">
        <v>1301</v>
      </c>
      <c r="BL81" s="131">
        <v>39239</v>
      </c>
      <c r="BM81" s="124">
        <v>39283</v>
      </c>
      <c r="BN81" s="124">
        <v>39171</v>
      </c>
      <c r="BO81" s="120">
        <f>18+1.45</f>
        <v>19.45</v>
      </c>
      <c r="BP81" s="124">
        <v>39933</v>
      </c>
      <c r="BQ81" s="152">
        <f t="shared" si="149"/>
        <v>1599000</v>
      </c>
      <c r="BR81" s="123">
        <f t="shared" si="150"/>
        <v>1359150</v>
      </c>
      <c r="BS81" s="123">
        <f t="shared" si="151"/>
        <v>239850</v>
      </c>
      <c r="BT81" s="136">
        <v>274</v>
      </c>
      <c r="BU81" s="137">
        <v>39337</v>
      </c>
      <c r="BV81" s="306"/>
      <c r="BY81" s="163" t="s">
        <v>744</v>
      </c>
      <c r="BZ81" s="124">
        <v>39363</v>
      </c>
      <c r="CA81" s="123">
        <f t="shared" si="143"/>
        <v>1599000</v>
      </c>
      <c r="CB81" s="123">
        <v>2321555.66</v>
      </c>
      <c r="CC81" s="408">
        <v>39758</v>
      </c>
      <c r="CD81" s="312">
        <f>+CB81</f>
        <v>2321555.66</v>
      </c>
      <c r="CE81" s="143">
        <f t="shared" si="153"/>
        <v>1973322.311</v>
      </c>
      <c r="CF81" s="143">
        <f t="shared" si="154"/>
        <v>348233.349</v>
      </c>
      <c r="CG81" s="125">
        <v>586</v>
      </c>
      <c r="CH81" s="124">
        <v>39776</v>
      </c>
      <c r="CI81" s="337" t="s">
        <v>233</v>
      </c>
      <c r="CJ81" s="124">
        <v>39786</v>
      </c>
      <c r="CK81" s="312">
        <f t="shared" si="152"/>
        <v>2321555.66</v>
      </c>
      <c r="CL81" s="123">
        <v>2045488.8</v>
      </c>
      <c r="CN81" s="123">
        <v>1142944.3399999999</v>
      </c>
      <c r="CO81" s="143">
        <f>+CN81*0.85</f>
        <v>971502.6889999999</v>
      </c>
      <c r="CP81" s="143">
        <f>+CN81*0.15</f>
        <v>171441.65099999998</v>
      </c>
      <c r="CQ81" s="125">
        <v>316</v>
      </c>
      <c r="CR81" s="124">
        <v>39954</v>
      </c>
      <c r="CS81" s="120" t="s">
        <v>367</v>
      </c>
      <c r="CT81" s="124">
        <v>39981</v>
      </c>
      <c r="CU81" s="258">
        <f>+CN81</f>
        <v>1142944.3399999999</v>
      </c>
      <c r="CV81" s="123">
        <v>850961.84</v>
      </c>
      <c r="CW81" s="124">
        <v>39993</v>
      </c>
      <c r="CX81" s="120">
        <v>0</v>
      </c>
      <c r="DE81" s="120">
        <v>0</v>
      </c>
      <c r="DZ81" s="123"/>
      <c r="FD81" s="388">
        <f t="shared" si="129"/>
        <v>5063500</v>
      </c>
      <c r="FE81" s="388">
        <f t="shared" si="144"/>
        <v>3464500</v>
      </c>
      <c r="FF81" s="159">
        <f t="shared" si="130"/>
        <v>1599000</v>
      </c>
      <c r="FG81" s="147">
        <f t="shared" si="131"/>
        <v>5330000</v>
      </c>
      <c r="FH81" s="147">
        <f t="shared" si="132"/>
        <v>5218006.3</v>
      </c>
      <c r="FI81" s="145">
        <f t="shared" si="139"/>
        <v>111993.70000000019</v>
      </c>
      <c r="FJ81" s="586">
        <f t="shared" si="140"/>
        <v>0.9789880487804877</v>
      </c>
      <c r="FK81" s="147">
        <f t="shared" si="133"/>
        <v>5330000</v>
      </c>
      <c r="FL81" s="147">
        <f t="shared" si="141"/>
        <v>1599000</v>
      </c>
      <c r="FM81" s="135">
        <f t="shared" si="134"/>
        <v>3464500</v>
      </c>
      <c r="FN81" s="421">
        <f t="shared" si="135"/>
        <v>0.95</v>
      </c>
      <c r="FO81" s="135">
        <f t="shared" si="136"/>
        <v>5063500</v>
      </c>
      <c r="FP81" s="147">
        <f t="shared" si="142"/>
        <v>266500</v>
      </c>
      <c r="FQ81" s="423">
        <f t="shared" si="137"/>
        <v>0.65</v>
      </c>
      <c r="FR81" s="117">
        <f>+T81-FH81</f>
        <v>111993.70000000019</v>
      </c>
      <c r="FS81" s="123"/>
      <c r="FV81" s="434"/>
    </row>
    <row r="82" spans="1:178" s="251" customFormat="1" ht="15" customHeight="1">
      <c r="A82" s="601"/>
      <c r="B82" s="630" t="s">
        <v>531</v>
      </c>
      <c r="C82" s="632"/>
      <c r="D82" s="240">
        <v>14</v>
      </c>
      <c r="E82" s="241" t="s">
        <v>579</v>
      </c>
      <c r="F82" s="241" t="s">
        <v>580</v>
      </c>
      <c r="G82" s="241"/>
      <c r="H82" s="243">
        <v>2565000</v>
      </c>
      <c r="I82" s="135"/>
      <c r="J82" s="135"/>
      <c r="K82" s="135"/>
      <c r="L82" s="135"/>
      <c r="M82" s="135">
        <f>+H82</f>
        <v>2565000</v>
      </c>
      <c r="N82" s="135">
        <v>1444890.32</v>
      </c>
      <c r="O82" s="135"/>
      <c r="P82" s="135"/>
      <c r="Q82" s="135"/>
      <c r="R82" s="135"/>
      <c r="T82" s="404">
        <f>+N82</f>
        <v>1444890.32</v>
      </c>
      <c r="U82" s="372">
        <f t="shared" si="126"/>
        <v>1442746.3399999999</v>
      </c>
      <c r="V82" s="243">
        <v>2565000</v>
      </c>
      <c r="W82" s="341"/>
      <c r="X82" s="243"/>
      <c r="Y82" s="122">
        <f t="shared" si="127"/>
        <v>2565000</v>
      </c>
      <c r="Z82" s="122">
        <f t="shared" si="128"/>
        <v>384750</v>
      </c>
      <c r="AA82" s="122">
        <f t="shared" si="145"/>
        <v>1282500</v>
      </c>
      <c r="AB82" s="122">
        <f t="shared" si="146"/>
        <v>897750</v>
      </c>
      <c r="AC82" s="122">
        <f t="shared" si="147"/>
        <v>2180250</v>
      </c>
      <c r="AD82" s="625">
        <f>+H82-Y82-Y83-K82-K83</f>
        <v>-2765000</v>
      </c>
      <c r="AE82" s="122">
        <f t="shared" si="148"/>
        <v>0</v>
      </c>
      <c r="AF82" s="244">
        <v>38996</v>
      </c>
      <c r="AG82" s="246">
        <v>8945</v>
      </c>
      <c r="AH82" s="494" t="s">
        <v>106</v>
      </c>
      <c r="AI82" s="246" t="s">
        <v>1325</v>
      </c>
      <c r="AJ82" s="244">
        <v>38999</v>
      </c>
      <c r="AK82" s="246">
        <v>367</v>
      </c>
      <c r="AL82" s="245"/>
      <c r="AM82" s="240"/>
      <c r="AN82" s="241" t="s">
        <v>580</v>
      </c>
      <c r="AO82" s="240" t="s">
        <v>1275</v>
      </c>
      <c r="AP82" s="241" t="s">
        <v>581</v>
      </c>
      <c r="AQ82" s="240"/>
      <c r="AR82" s="240">
        <v>73050</v>
      </c>
      <c r="AS82" s="247" t="s">
        <v>582</v>
      </c>
      <c r="AT82" s="247" t="s">
        <v>277</v>
      </c>
      <c r="AU82" s="241" t="s">
        <v>276</v>
      </c>
      <c r="AV82" s="332" t="s">
        <v>583</v>
      </c>
      <c r="AW82" s="250"/>
      <c r="AX82" s="246"/>
      <c r="AY82" s="250"/>
      <c r="AZ82" s="250"/>
      <c r="BA82" s="624" t="s">
        <v>1034</v>
      </c>
      <c r="BB82" s="624"/>
      <c r="BC82" s="444">
        <v>189</v>
      </c>
      <c r="BD82" s="445">
        <v>39252</v>
      </c>
      <c r="BE82" s="253">
        <v>39261</v>
      </c>
      <c r="BF82" s="333"/>
      <c r="BG82" s="253">
        <v>39261</v>
      </c>
      <c r="BH82" s="243"/>
      <c r="BJ82" s="251" t="s">
        <v>1301</v>
      </c>
      <c r="BK82" s="251" t="s">
        <v>1301</v>
      </c>
      <c r="BL82" s="334">
        <v>39258</v>
      </c>
      <c r="BM82" s="335">
        <v>39534</v>
      </c>
      <c r="BN82" s="335">
        <v>39532</v>
      </c>
      <c r="BO82" s="251">
        <v>6</v>
      </c>
      <c r="BP82" s="124">
        <v>39762</v>
      </c>
      <c r="BQ82" s="152">
        <f t="shared" si="149"/>
        <v>769500</v>
      </c>
      <c r="BR82" s="123">
        <f t="shared" si="150"/>
        <v>654075</v>
      </c>
      <c r="BS82" s="123">
        <f t="shared" si="151"/>
        <v>115425</v>
      </c>
      <c r="BT82" s="136">
        <v>147</v>
      </c>
      <c r="BU82" s="137">
        <v>39581</v>
      </c>
      <c r="BV82" s="336"/>
      <c r="BY82" s="337" t="s">
        <v>443</v>
      </c>
      <c r="BZ82" s="137">
        <v>39611</v>
      </c>
      <c r="CA82" s="123">
        <f t="shared" si="143"/>
        <v>769500</v>
      </c>
      <c r="CB82" s="312">
        <f>790635.1-5336.76</f>
        <v>785298.34</v>
      </c>
      <c r="CC82" s="338">
        <v>39980</v>
      </c>
      <c r="CD82" s="312">
        <f>790635.1-5336.76</f>
        <v>785298.34</v>
      </c>
      <c r="CE82" s="143">
        <f t="shared" si="153"/>
        <v>667503.5889999999</v>
      </c>
      <c r="CF82" s="143">
        <f t="shared" si="154"/>
        <v>117794.75099999999</v>
      </c>
      <c r="CG82" s="246">
        <v>502</v>
      </c>
      <c r="CH82" s="335">
        <v>40021</v>
      </c>
      <c r="CI82" s="337" t="s">
        <v>794</v>
      </c>
      <c r="CJ82" s="335">
        <v>40035</v>
      </c>
      <c r="CK82" s="312">
        <f t="shared" si="152"/>
        <v>785298.34</v>
      </c>
      <c r="CL82" s="312">
        <v>657448</v>
      </c>
      <c r="CM82" s="336"/>
      <c r="CN82" s="312">
        <v>0</v>
      </c>
      <c r="CO82" s="251">
        <v>0</v>
      </c>
      <c r="CQ82" s="246"/>
      <c r="CU82" s="258">
        <f>+CN82</f>
        <v>0</v>
      </c>
      <c r="CV82" s="312"/>
      <c r="DA82" s="240"/>
      <c r="DZ82" s="312"/>
      <c r="FD82" s="388">
        <f t="shared" si="129"/>
        <v>1554798.3399999999</v>
      </c>
      <c r="FE82" s="388">
        <f t="shared" si="144"/>
        <v>785298.34</v>
      </c>
      <c r="FF82" s="159">
        <f t="shared" si="130"/>
        <v>769500</v>
      </c>
      <c r="FG82" s="147">
        <f t="shared" si="131"/>
        <v>1444890.32</v>
      </c>
      <c r="FH82" s="147">
        <f t="shared" si="132"/>
        <v>1442746.3399999999</v>
      </c>
      <c r="FI82" s="145">
        <f t="shared" si="139"/>
        <v>2143.980000000214</v>
      </c>
      <c r="FJ82" s="586">
        <f t="shared" si="140"/>
        <v>0.9985161641888498</v>
      </c>
      <c r="FK82" s="147">
        <f t="shared" si="133"/>
        <v>1444890.32</v>
      </c>
      <c r="FL82" s="147">
        <f t="shared" si="141"/>
        <v>769500</v>
      </c>
      <c r="FM82" s="135">
        <f>+CX82+CN82+CD82+DH82+DR82+EB82+EL82</f>
        <v>785298.34</v>
      </c>
      <c r="FN82" s="421">
        <f t="shared" si="135"/>
        <v>1.0760666871932534</v>
      </c>
      <c r="FO82" s="135">
        <f>+DH82+CX82+CN82+CD82+BQ82+DR82+EB82+EL82</f>
        <v>1554798.3399999999</v>
      </c>
      <c r="FP82" s="147">
        <f t="shared" si="142"/>
        <v>-109908.01999999979</v>
      </c>
      <c r="FQ82" s="423">
        <f t="shared" si="137"/>
        <v>0.5435003121897861</v>
      </c>
      <c r="FR82" s="117">
        <f>+H82-FH82</f>
        <v>1122253.6600000001</v>
      </c>
      <c r="FS82" s="312"/>
      <c r="FT82" s="312"/>
      <c r="FU82" s="312"/>
      <c r="FV82" s="434"/>
    </row>
    <row r="83" spans="1:178" s="251" customFormat="1" ht="15" customHeight="1">
      <c r="A83" s="595"/>
      <c r="B83" s="630"/>
      <c r="C83" s="632"/>
      <c r="D83" s="240">
        <v>14</v>
      </c>
      <c r="E83" s="241" t="s">
        <v>579</v>
      </c>
      <c r="F83" s="241" t="s">
        <v>1210</v>
      </c>
      <c r="G83" s="241"/>
      <c r="H83" s="243">
        <v>2765000</v>
      </c>
      <c r="I83" s="135"/>
      <c r="J83" s="135"/>
      <c r="K83" s="135"/>
      <c r="L83" s="135"/>
      <c r="M83" s="135">
        <f>+H83</f>
        <v>2765000</v>
      </c>
      <c r="N83" s="135">
        <v>1165000</v>
      </c>
      <c r="O83" s="135">
        <v>2720109.68</v>
      </c>
      <c r="P83" s="135">
        <f>+O83</f>
        <v>2720109.68</v>
      </c>
      <c r="Q83" s="135">
        <f>+P83*0.85</f>
        <v>2312093.228</v>
      </c>
      <c r="R83" s="135">
        <f>+P83*0.15</f>
        <v>408016.452</v>
      </c>
      <c r="S83" s="116" t="s">
        <v>544</v>
      </c>
      <c r="T83" s="151">
        <f>+N83</f>
        <v>1165000</v>
      </c>
      <c r="U83" s="372">
        <f t="shared" si="126"/>
        <v>1165300</v>
      </c>
      <c r="V83" s="243">
        <v>2765000</v>
      </c>
      <c r="W83" s="341"/>
      <c r="X83" s="243"/>
      <c r="Y83" s="122">
        <f t="shared" si="127"/>
        <v>2765000</v>
      </c>
      <c r="Z83" s="122">
        <f t="shared" si="128"/>
        <v>414750</v>
      </c>
      <c r="AA83" s="122">
        <f t="shared" si="145"/>
        <v>1382500</v>
      </c>
      <c r="AB83" s="122">
        <f t="shared" si="146"/>
        <v>967749.9999999999</v>
      </c>
      <c r="AC83" s="122">
        <f t="shared" si="147"/>
        <v>2350250</v>
      </c>
      <c r="AD83" s="625"/>
      <c r="AE83" s="122">
        <v>0</v>
      </c>
      <c r="AF83" s="244">
        <v>38996</v>
      </c>
      <c r="AG83" s="246">
        <v>8945</v>
      </c>
      <c r="AH83" s="245"/>
      <c r="AI83" s="246" t="s">
        <v>1325</v>
      </c>
      <c r="AJ83" s="244">
        <v>38999</v>
      </c>
      <c r="AK83" s="246">
        <v>367</v>
      </c>
      <c r="AL83" s="245"/>
      <c r="AM83" s="240"/>
      <c r="AN83" s="241" t="s">
        <v>1210</v>
      </c>
      <c r="AO83" s="240" t="s">
        <v>1275</v>
      </c>
      <c r="AP83" s="241" t="s">
        <v>688</v>
      </c>
      <c r="AQ83" s="240">
        <v>1</v>
      </c>
      <c r="AR83" s="240">
        <v>73039</v>
      </c>
      <c r="AS83" s="247" t="s">
        <v>73</v>
      </c>
      <c r="AT83" s="247" t="s">
        <v>62</v>
      </c>
      <c r="AU83" s="241" t="s">
        <v>1073</v>
      </c>
      <c r="AV83" s="332" t="s">
        <v>74</v>
      </c>
      <c r="AW83" s="320" t="s">
        <v>76</v>
      </c>
      <c r="AX83" s="246"/>
      <c r="AY83" s="176" t="s">
        <v>1064</v>
      </c>
      <c r="AZ83" s="250" t="s">
        <v>1058</v>
      </c>
      <c r="BA83" s="624" t="s">
        <v>1063</v>
      </c>
      <c r="BB83" s="624"/>
      <c r="BC83" s="444">
        <v>189</v>
      </c>
      <c r="BD83" s="445">
        <v>39252</v>
      </c>
      <c r="BE83" s="253">
        <v>39261</v>
      </c>
      <c r="BF83" s="333"/>
      <c r="BG83" s="253">
        <v>39261</v>
      </c>
      <c r="BH83" s="243"/>
      <c r="BJ83" s="251" t="s">
        <v>1301</v>
      </c>
      <c r="BK83" s="251" t="s">
        <v>1301</v>
      </c>
      <c r="BL83" s="334">
        <v>39258</v>
      </c>
      <c r="BM83" s="335">
        <v>39496</v>
      </c>
      <c r="BN83" s="335">
        <v>39493</v>
      </c>
      <c r="BO83" s="251">
        <f>8.5+0.35</f>
        <v>8.85</v>
      </c>
      <c r="BP83" s="124">
        <f>BN83+(BO83*365/12)</f>
        <v>39762.1875</v>
      </c>
      <c r="BQ83" s="152">
        <f t="shared" si="149"/>
        <v>829500</v>
      </c>
      <c r="BR83" s="123">
        <f t="shared" si="150"/>
        <v>705075</v>
      </c>
      <c r="BS83" s="123">
        <f t="shared" si="151"/>
        <v>124425</v>
      </c>
      <c r="BT83" s="251">
        <v>195</v>
      </c>
      <c r="BU83" s="335">
        <v>39590</v>
      </c>
      <c r="BV83" s="336"/>
      <c r="BY83" s="337" t="s">
        <v>444</v>
      </c>
      <c r="BZ83" s="335">
        <v>39625</v>
      </c>
      <c r="CA83" s="123">
        <f t="shared" si="143"/>
        <v>829500</v>
      </c>
      <c r="CB83" s="312">
        <v>1165300</v>
      </c>
      <c r="CC83" s="335">
        <v>39990</v>
      </c>
      <c r="CD83" s="312">
        <v>277250</v>
      </c>
      <c r="CE83" s="143">
        <f t="shared" si="153"/>
        <v>235662.5</v>
      </c>
      <c r="CF83" s="143">
        <f>+CD83*0.15</f>
        <v>41587.5</v>
      </c>
      <c r="CG83" s="250">
        <v>695</v>
      </c>
      <c r="CH83" s="335">
        <v>40116</v>
      </c>
      <c r="CI83" s="336" t="s">
        <v>645</v>
      </c>
      <c r="CK83" s="312">
        <f t="shared" si="152"/>
        <v>277250</v>
      </c>
      <c r="CL83" s="312"/>
      <c r="CM83" s="336"/>
      <c r="CN83" s="312"/>
      <c r="CO83" s="143"/>
      <c r="CP83" s="143"/>
      <c r="CQ83" s="246"/>
      <c r="CV83" s="312"/>
      <c r="DA83" s="240"/>
      <c r="DZ83" s="312"/>
      <c r="FD83" s="388">
        <f t="shared" si="129"/>
        <v>1106750</v>
      </c>
      <c r="FE83" s="388">
        <f t="shared" si="144"/>
        <v>277250</v>
      </c>
      <c r="FF83" s="159">
        <f t="shared" si="130"/>
        <v>829500</v>
      </c>
      <c r="FG83" s="147">
        <f t="shared" si="131"/>
        <v>1165000</v>
      </c>
      <c r="FH83" s="147">
        <f t="shared" si="132"/>
        <v>1165300</v>
      </c>
      <c r="FI83" s="145">
        <f t="shared" si="139"/>
        <v>-300</v>
      </c>
      <c r="FJ83" s="586">
        <f t="shared" si="140"/>
        <v>1.0002575107296137</v>
      </c>
      <c r="FK83" s="147">
        <f t="shared" si="133"/>
        <v>1165000</v>
      </c>
      <c r="FL83" s="147">
        <f t="shared" si="141"/>
        <v>829500</v>
      </c>
      <c r="FM83" s="135">
        <f>+CX83+CN83+CD83+DH83+DR83+EB83+EL83</f>
        <v>277250</v>
      </c>
      <c r="FN83" s="421">
        <f t="shared" si="135"/>
        <v>0.95</v>
      </c>
      <c r="FO83" s="135">
        <f>+DH83+CX83+CN83+CD83+BQ83+DR83+EB83+EL83</f>
        <v>1106750</v>
      </c>
      <c r="FP83" s="147">
        <f t="shared" si="142"/>
        <v>58250</v>
      </c>
      <c r="FQ83" s="423">
        <f t="shared" si="137"/>
        <v>0.23798283261802575</v>
      </c>
      <c r="FR83" s="117">
        <f>+H83-FH83</f>
        <v>1599700</v>
      </c>
      <c r="FS83" s="312"/>
      <c r="FT83" s="312">
        <f>+FK83*0.95</f>
        <v>1106750</v>
      </c>
      <c r="FU83" s="312">
        <f>+FT83-FO83</f>
        <v>0</v>
      </c>
      <c r="FV83" s="312"/>
    </row>
    <row r="84" spans="1:177" s="251" customFormat="1" ht="15" customHeight="1">
      <c r="A84" s="595"/>
      <c r="B84" s="621" t="s">
        <v>532</v>
      </c>
      <c r="C84" s="622"/>
      <c r="D84" s="240">
        <v>15</v>
      </c>
      <c r="E84" s="241" t="s">
        <v>584</v>
      </c>
      <c r="F84" s="241" t="s">
        <v>585</v>
      </c>
      <c r="G84" s="241" t="s">
        <v>1337</v>
      </c>
      <c r="H84" s="242">
        <v>5330000</v>
      </c>
      <c r="I84" s="243"/>
      <c r="J84" s="243"/>
      <c r="K84" s="243"/>
      <c r="L84" s="243"/>
      <c r="M84" s="135">
        <f>+H84-K84</f>
        <v>5330000</v>
      </c>
      <c r="N84" s="122">
        <f>+M84-490000</f>
        <v>4840000</v>
      </c>
      <c r="O84" s="135">
        <f>+M84-N84</f>
        <v>490000</v>
      </c>
      <c r="P84" s="135">
        <f>+O84</f>
        <v>490000</v>
      </c>
      <c r="Q84" s="122">
        <f>+P84*0.85</f>
        <v>416500</v>
      </c>
      <c r="R84" s="122">
        <f>+P84*0.15</f>
        <v>73500</v>
      </c>
      <c r="S84" s="433" t="s">
        <v>1384</v>
      </c>
      <c r="T84" s="404">
        <f>+Y84-P84</f>
        <v>4840000</v>
      </c>
      <c r="U84" s="372">
        <f t="shared" si="126"/>
        <v>4818191.48</v>
      </c>
      <c r="V84" s="243">
        <f>H84</f>
        <v>5330000</v>
      </c>
      <c r="W84" s="243"/>
      <c r="X84" s="243"/>
      <c r="Y84" s="122">
        <f t="shared" si="127"/>
        <v>5330000</v>
      </c>
      <c r="Z84" s="122">
        <f t="shared" si="128"/>
        <v>799500</v>
      </c>
      <c r="AA84" s="122">
        <f t="shared" si="145"/>
        <v>2665000</v>
      </c>
      <c r="AB84" s="122">
        <f t="shared" si="146"/>
        <v>1865499.9999999998</v>
      </c>
      <c r="AC84" s="122">
        <f t="shared" si="147"/>
        <v>4530500</v>
      </c>
      <c r="AD84" s="122">
        <f>+H84-Y84-K84</f>
        <v>0</v>
      </c>
      <c r="AE84" s="122">
        <f t="shared" si="148"/>
        <v>0</v>
      </c>
      <c r="AF84" s="244">
        <v>39002</v>
      </c>
      <c r="AG84" s="246">
        <v>6739</v>
      </c>
      <c r="AH84" s="245"/>
      <c r="AI84" s="246" t="s">
        <v>1325</v>
      </c>
      <c r="AJ84" s="244">
        <v>39008</v>
      </c>
      <c r="AK84" s="246">
        <v>11815</v>
      </c>
      <c r="AL84" s="245"/>
      <c r="AM84" s="240"/>
      <c r="AN84" s="241" t="s">
        <v>1400</v>
      </c>
      <c r="AO84" s="240" t="s">
        <v>17</v>
      </c>
      <c r="AP84" s="241" t="s">
        <v>586</v>
      </c>
      <c r="AQ84" s="240">
        <v>121</v>
      </c>
      <c r="AR84" s="240">
        <v>71037</v>
      </c>
      <c r="AS84" s="247" t="s">
        <v>1132</v>
      </c>
      <c r="AT84" s="247" t="s">
        <v>600</v>
      </c>
      <c r="AU84" s="241" t="s">
        <v>656</v>
      </c>
      <c r="AV84" s="332" t="s">
        <v>601</v>
      </c>
      <c r="AW84" s="250">
        <v>94031700712</v>
      </c>
      <c r="AX84" s="249" t="s">
        <v>683</v>
      </c>
      <c r="AY84" s="250" t="s">
        <v>796</v>
      </c>
      <c r="AZ84" s="250"/>
      <c r="BA84" s="624" t="s">
        <v>797</v>
      </c>
      <c r="BB84" s="624"/>
      <c r="BC84" s="444">
        <v>167</v>
      </c>
      <c r="BD84" s="445">
        <v>39238</v>
      </c>
      <c r="BE84" s="253">
        <v>39251</v>
      </c>
      <c r="BF84" s="333"/>
      <c r="BG84" s="253">
        <v>39251</v>
      </c>
      <c r="BH84" s="243"/>
      <c r="BJ84" s="251" t="s">
        <v>1301</v>
      </c>
      <c r="BK84" s="251" t="s">
        <v>1301</v>
      </c>
      <c r="BL84" s="334">
        <v>39251</v>
      </c>
      <c r="BM84" s="335">
        <v>39421</v>
      </c>
      <c r="BN84" s="335">
        <v>39171</v>
      </c>
      <c r="BO84" s="251">
        <v>18</v>
      </c>
      <c r="BP84" s="124">
        <v>39933</v>
      </c>
      <c r="BQ84" s="152">
        <f t="shared" si="149"/>
        <v>1599000</v>
      </c>
      <c r="BR84" s="123">
        <f t="shared" si="150"/>
        <v>1359150</v>
      </c>
      <c r="BS84" s="123">
        <f t="shared" si="151"/>
        <v>239850</v>
      </c>
      <c r="BT84" s="251">
        <v>53</v>
      </c>
      <c r="BU84" s="335">
        <v>39500</v>
      </c>
      <c r="BV84" s="336"/>
      <c r="BY84" s="337" t="s">
        <v>1032</v>
      </c>
      <c r="BZ84" s="335">
        <v>39521</v>
      </c>
      <c r="CA84" s="123">
        <f t="shared" si="143"/>
        <v>1599000</v>
      </c>
      <c r="CB84" s="312">
        <v>4522325.08</v>
      </c>
      <c r="CC84" s="338">
        <v>39932</v>
      </c>
      <c r="CD84" s="312">
        <v>2999000</v>
      </c>
      <c r="CE84" s="143">
        <f t="shared" si="153"/>
        <v>2549150</v>
      </c>
      <c r="CF84" s="143">
        <f t="shared" si="154"/>
        <v>449850</v>
      </c>
      <c r="CG84" s="246">
        <v>311</v>
      </c>
      <c r="CH84" s="335">
        <v>39952</v>
      </c>
      <c r="CI84" s="337" t="s">
        <v>516</v>
      </c>
      <c r="CJ84" s="335">
        <v>39961</v>
      </c>
      <c r="CK84" s="312">
        <f t="shared" si="152"/>
        <v>2999000</v>
      </c>
      <c r="CL84" s="312">
        <v>295866.4</v>
      </c>
      <c r="CM84" s="335">
        <v>40000</v>
      </c>
      <c r="CN84" s="312">
        <v>0</v>
      </c>
      <c r="CO84" s="251">
        <v>0</v>
      </c>
      <c r="CP84" s="251">
        <v>0</v>
      </c>
      <c r="CQ84" s="246"/>
      <c r="CU84" s="258">
        <f>+CN84</f>
        <v>0</v>
      </c>
      <c r="CV84" s="312"/>
      <c r="DA84" s="240"/>
      <c r="DZ84" s="312"/>
      <c r="FD84" s="388">
        <f t="shared" si="129"/>
        <v>4598000</v>
      </c>
      <c r="FE84" s="388">
        <f t="shared" si="144"/>
        <v>2999000</v>
      </c>
      <c r="FF84" s="159">
        <f t="shared" si="130"/>
        <v>1599000</v>
      </c>
      <c r="FG84" s="147">
        <f t="shared" si="131"/>
        <v>4840000</v>
      </c>
      <c r="FH84" s="147">
        <f t="shared" si="132"/>
        <v>4818191.48</v>
      </c>
      <c r="FI84" s="145">
        <f t="shared" si="139"/>
        <v>21808.519999999553</v>
      </c>
      <c r="FJ84" s="586">
        <f t="shared" si="140"/>
        <v>0.9954941074380166</v>
      </c>
      <c r="FK84" s="147">
        <f t="shared" si="133"/>
        <v>4840000</v>
      </c>
      <c r="FL84" s="147">
        <f t="shared" si="141"/>
        <v>1599000</v>
      </c>
      <c r="FM84" s="135">
        <f t="shared" si="134"/>
        <v>2999000</v>
      </c>
      <c r="FN84" s="379">
        <f t="shared" si="135"/>
        <v>0.95</v>
      </c>
      <c r="FO84" s="135">
        <f t="shared" si="136"/>
        <v>4598000</v>
      </c>
      <c r="FP84" s="147">
        <f t="shared" si="142"/>
        <v>242000</v>
      </c>
      <c r="FQ84" s="423">
        <f t="shared" si="137"/>
        <v>0.6196280991735538</v>
      </c>
      <c r="FR84" s="117">
        <f>+T84-FH84</f>
        <v>21808.519999999553</v>
      </c>
      <c r="FT84" s="312">
        <f>+FK84*0.95</f>
        <v>4598000</v>
      </c>
      <c r="FU84" s="312">
        <f>+FT84-FO84</f>
        <v>0</v>
      </c>
    </row>
    <row r="85" spans="1:174" s="294" customFormat="1" ht="13.5" customHeight="1">
      <c r="A85" s="600"/>
      <c r="B85" s="184"/>
      <c r="C85" s="323"/>
      <c r="D85" s="284"/>
      <c r="E85" s="286"/>
      <c r="F85" s="286"/>
      <c r="G85" s="286"/>
      <c r="H85" s="287">
        <f>SUM(H74:H84)</f>
        <v>33498633</v>
      </c>
      <c r="I85" s="288"/>
      <c r="J85" s="288"/>
      <c r="K85" s="288"/>
      <c r="L85" s="288"/>
      <c r="M85" s="287">
        <f>SUM(M74:M84)</f>
        <v>33498633</v>
      </c>
      <c r="N85" s="288"/>
      <c r="O85" s="288"/>
      <c r="P85" s="288"/>
      <c r="Q85" s="288"/>
      <c r="R85" s="288"/>
      <c r="S85" s="288"/>
      <c r="T85" s="288"/>
      <c r="U85" s="288">
        <f>SUM(U74:U84)</f>
        <v>24520760.66</v>
      </c>
      <c r="V85" s="330">
        <f>SUM(V74:V84)</f>
        <v>32799333</v>
      </c>
      <c r="W85" s="288"/>
      <c r="X85" s="288"/>
      <c r="Y85" s="330">
        <f>SUM(Y74:Y84)</f>
        <v>32799333</v>
      </c>
      <c r="Z85" s="330">
        <f>SUM(Z74:Z84)</f>
        <v>4919899.95</v>
      </c>
      <c r="AA85" s="330">
        <f>SUM(AA74:AA84)</f>
        <v>16399666.5</v>
      </c>
      <c r="AB85" s="330">
        <f>SUM(AB74:AB84)</f>
        <v>11479766.55</v>
      </c>
      <c r="AC85" s="330">
        <f>SUM(AC74:AC84)</f>
        <v>27879433.05</v>
      </c>
      <c r="AD85" s="288"/>
      <c r="AE85" s="288"/>
      <c r="AF85" s="289"/>
      <c r="AG85" s="288"/>
      <c r="AH85" s="290"/>
      <c r="AI85" s="291"/>
      <c r="AJ85" s="289"/>
      <c r="AK85" s="291"/>
      <c r="AL85" s="290"/>
      <c r="AM85" s="284"/>
      <c r="AN85" s="284"/>
      <c r="AO85" s="284"/>
      <c r="AP85" s="284"/>
      <c r="AQ85" s="284"/>
      <c r="AR85" s="284"/>
      <c r="AS85" s="284"/>
      <c r="AT85" s="284"/>
      <c r="AU85" s="284"/>
      <c r="AV85" s="284"/>
      <c r="AW85" s="291"/>
      <c r="AX85" s="291"/>
      <c r="AY85" s="292"/>
      <c r="AZ85" s="292"/>
      <c r="BA85" s="291"/>
      <c r="BB85" s="291"/>
      <c r="BC85" s="446"/>
      <c r="BD85" s="446"/>
      <c r="BE85" s="284"/>
      <c r="BF85" s="293"/>
      <c r="BG85" s="293"/>
      <c r="BH85" s="288"/>
      <c r="BQ85" s="296">
        <f>SUM(BQ74:BQ84)</f>
        <v>9292007</v>
      </c>
      <c r="BR85" s="296"/>
      <c r="BS85" s="296"/>
      <c r="CA85" s="294">
        <f t="shared" si="143"/>
        <v>9292007</v>
      </c>
      <c r="CC85" s="297"/>
      <c r="CD85" s="296"/>
      <c r="CE85" s="296"/>
      <c r="CF85" s="296"/>
      <c r="CG85" s="284"/>
      <c r="CH85" s="298"/>
      <c r="CL85" s="296"/>
      <c r="CN85" s="296"/>
      <c r="DA85" s="284"/>
      <c r="FD85" s="391">
        <f>SUM(FD74:FD84)</f>
        <v>24235213.74</v>
      </c>
      <c r="FE85" s="391">
        <f>SUM(FE74:FE84)</f>
        <v>14943206.74</v>
      </c>
      <c r="FF85" s="391">
        <f>SUM(FF74:FF84)</f>
        <v>9292007</v>
      </c>
      <c r="FG85" s="296">
        <f>SUM(FG74:FG84)</f>
        <v>26636720.950000003</v>
      </c>
      <c r="FH85" s="296">
        <f>SUM(FH74:FH84)</f>
        <v>24520760.66</v>
      </c>
      <c r="FI85" s="294">
        <f t="shared" si="139"/>
        <v>2115960.290000003</v>
      </c>
      <c r="FJ85" s="424"/>
      <c r="FK85" s="296">
        <f>SUM(FK74:FK84)</f>
        <v>26636720.950000003</v>
      </c>
      <c r="FL85" s="296">
        <f>SUM(FL74:FL84)</f>
        <v>9292007</v>
      </c>
      <c r="FM85" s="296">
        <f>SUM(FM74:FM84)</f>
        <v>14771566.9</v>
      </c>
      <c r="FN85" s="294">
        <f t="shared" si="135"/>
        <v>0.9033985055882038</v>
      </c>
      <c r="FO85" s="296">
        <f>SUM(FO74:FO84)</f>
        <v>24063573.900000002</v>
      </c>
      <c r="FP85" s="296">
        <f>SUM(FP74:FP84)</f>
        <v>2573147.05</v>
      </c>
      <c r="FQ85" s="294">
        <f t="shared" si="137"/>
        <v>0.5545565059501064</v>
      </c>
      <c r="FR85" s="296"/>
    </row>
    <row r="86" spans="2:105" ht="12.75" customHeight="1">
      <c r="B86" s="322"/>
      <c r="C86" s="630" t="s">
        <v>709</v>
      </c>
      <c r="D86" s="631"/>
      <c r="E86" s="631"/>
      <c r="F86" s="631"/>
      <c r="G86" s="342"/>
      <c r="H86" s="342"/>
      <c r="I86" s="243"/>
      <c r="J86" s="243"/>
      <c r="K86" s="243"/>
      <c r="L86" s="243"/>
      <c r="M86" s="243"/>
      <c r="N86" s="243"/>
      <c r="O86" s="243"/>
      <c r="P86" s="243"/>
      <c r="Q86" s="243"/>
      <c r="R86" s="243"/>
      <c r="S86" s="243"/>
      <c r="T86" s="243"/>
      <c r="U86" s="243"/>
      <c r="V86" s="243"/>
      <c r="X86" s="243"/>
      <c r="Y86" s="243"/>
      <c r="Z86" s="243"/>
      <c r="AA86" s="243"/>
      <c r="AB86" s="243"/>
      <c r="AC86" s="243"/>
      <c r="AD86" s="243"/>
      <c r="AE86" s="243"/>
      <c r="AG86" s="243"/>
      <c r="BN86" s="255"/>
      <c r="BO86" s="255"/>
      <c r="BP86" s="255"/>
      <c r="DA86" s="240"/>
    </row>
    <row r="87" spans="2:164" ht="12.75" customHeight="1">
      <c r="B87" s="322"/>
      <c r="C87" s="300"/>
      <c r="E87" s="241" t="s">
        <v>623</v>
      </c>
      <c r="F87" s="241"/>
      <c r="G87" s="241"/>
      <c r="H87" s="242">
        <v>1260000</v>
      </c>
      <c r="I87" s="243"/>
      <c r="J87" s="243"/>
      <c r="K87" s="243"/>
      <c r="L87" s="243"/>
      <c r="M87" s="242">
        <v>1260000</v>
      </c>
      <c r="N87" s="242"/>
      <c r="O87" s="242"/>
      <c r="P87" s="242"/>
      <c r="Q87" s="242"/>
      <c r="R87" s="242"/>
      <c r="S87" s="242"/>
      <c r="T87" s="242"/>
      <c r="U87" s="242"/>
      <c r="V87" s="242">
        <v>1260000</v>
      </c>
      <c r="X87" s="243"/>
      <c r="Y87" s="312">
        <v>1260000</v>
      </c>
      <c r="Z87" s="312">
        <v>1260000</v>
      </c>
      <c r="AA87" s="243">
        <v>0</v>
      </c>
      <c r="AB87" s="243">
        <v>0</v>
      </c>
      <c r="AC87" s="243">
        <v>0</v>
      </c>
      <c r="AD87" s="243"/>
      <c r="AE87" s="243"/>
      <c r="AG87" s="243"/>
      <c r="BC87" s="444">
        <v>134</v>
      </c>
      <c r="BD87" s="445">
        <v>39052</v>
      </c>
      <c r="BN87" s="255"/>
      <c r="BO87" s="255"/>
      <c r="BP87" s="255"/>
      <c r="BQ87" s="258">
        <v>438000</v>
      </c>
      <c r="BR87" s="258">
        <v>0</v>
      </c>
      <c r="BS87" s="258">
        <v>438000</v>
      </c>
      <c r="BT87" s="255">
        <v>94</v>
      </c>
      <c r="BU87" s="256">
        <v>38821</v>
      </c>
      <c r="BV87" s="306"/>
      <c r="BY87" s="343" t="s">
        <v>745</v>
      </c>
      <c r="BZ87" s="326">
        <v>38860</v>
      </c>
      <c r="CA87" s="258">
        <f>BQ87</f>
        <v>438000</v>
      </c>
      <c r="CB87" s="258">
        <v>257439.3</v>
      </c>
      <c r="CC87" s="265">
        <v>39104</v>
      </c>
      <c r="CD87" s="258">
        <v>257439.3</v>
      </c>
      <c r="CF87" s="258">
        <v>257439.3</v>
      </c>
      <c r="CG87" s="240">
        <v>53</v>
      </c>
      <c r="CH87" s="256">
        <v>39149</v>
      </c>
      <c r="CI87" s="343" t="s">
        <v>746</v>
      </c>
      <c r="CJ87" s="326">
        <v>39149</v>
      </c>
      <c r="CK87" s="258">
        <f>+CD87</f>
        <v>257439.3</v>
      </c>
      <c r="DA87" s="240"/>
      <c r="FD87" s="159">
        <f aca="true" t="shared" si="155" ref="FD87:FD97">CA87+CK87+CU87+DE87</f>
        <v>695439.3</v>
      </c>
      <c r="FH87" s="258"/>
    </row>
    <row r="88" spans="2:160" ht="12.75" customHeight="1">
      <c r="B88" s="322"/>
      <c r="C88" s="300"/>
      <c r="E88" s="241" t="s">
        <v>624</v>
      </c>
      <c r="F88" s="241"/>
      <c r="G88" s="241"/>
      <c r="H88" s="242">
        <v>220000</v>
      </c>
      <c r="I88" s="243"/>
      <c r="J88" s="243"/>
      <c r="K88" s="243"/>
      <c r="L88" s="243"/>
      <c r="M88" s="242">
        <v>220000</v>
      </c>
      <c r="N88" s="242"/>
      <c r="O88" s="242"/>
      <c r="P88" s="242"/>
      <c r="Q88" s="242"/>
      <c r="R88" s="242"/>
      <c r="S88" s="242"/>
      <c r="T88" s="242"/>
      <c r="U88" s="242"/>
      <c r="V88" s="242">
        <v>220000</v>
      </c>
      <c r="X88" s="243"/>
      <c r="Y88" s="312">
        <v>220000</v>
      </c>
      <c r="Z88" s="312">
        <f>V88*0.15</f>
        <v>33000</v>
      </c>
      <c r="AA88" s="243">
        <f>V88*0.5</f>
        <v>110000</v>
      </c>
      <c r="AB88" s="243">
        <f>+V88*0.35</f>
        <v>77000</v>
      </c>
      <c r="AC88" s="243">
        <f>+AB88+AA88</f>
        <v>187000</v>
      </c>
      <c r="AD88" s="243"/>
      <c r="AE88" s="243"/>
      <c r="AG88" s="243"/>
      <c r="BC88" s="444">
        <v>292</v>
      </c>
      <c r="BD88" s="445">
        <v>39058</v>
      </c>
      <c r="BN88" s="255"/>
      <c r="BO88" s="255"/>
      <c r="BP88" s="255"/>
      <c r="CA88" s="258">
        <f>BQ88</f>
        <v>0</v>
      </c>
      <c r="CK88" s="258">
        <f aca="true" t="shared" si="156" ref="CK88:CK97">+CD88</f>
        <v>0</v>
      </c>
      <c r="DA88" s="240"/>
      <c r="FD88" s="159">
        <f t="shared" si="155"/>
        <v>0</v>
      </c>
    </row>
    <row r="89" spans="2:160" ht="12.75" customHeight="1">
      <c r="B89" s="322"/>
      <c r="C89" s="300"/>
      <c r="E89" s="241" t="s">
        <v>625</v>
      </c>
      <c r="F89" s="241"/>
      <c r="G89" s="241"/>
      <c r="H89" s="242">
        <v>1260000</v>
      </c>
      <c r="I89" s="243"/>
      <c r="J89" s="243"/>
      <c r="K89" s="243"/>
      <c r="L89" s="243"/>
      <c r="M89" s="242">
        <v>1260000</v>
      </c>
      <c r="N89" s="242"/>
      <c r="O89" s="242"/>
      <c r="P89" s="242"/>
      <c r="Q89" s="242"/>
      <c r="R89" s="242">
        <f>+N76-O76</f>
        <v>1108860.5699999998</v>
      </c>
      <c r="S89" s="242"/>
      <c r="T89" s="242"/>
      <c r="U89" s="242"/>
      <c r="V89" s="242">
        <v>1260000</v>
      </c>
      <c r="X89" s="243"/>
      <c r="Y89" s="312">
        <v>1260000</v>
      </c>
      <c r="Z89" s="312">
        <v>1260000</v>
      </c>
      <c r="AA89" s="243">
        <v>0</v>
      </c>
      <c r="AB89" s="243">
        <v>0</v>
      </c>
      <c r="AC89" s="243">
        <v>0</v>
      </c>
      <c r="AD89" s="243"/>
      <c r="AE89" s="243"/>
      <c r="AG89" s="243"/>
      <c r="BC89" s="444">
        <v>134</v>
      </c>
      <c r="BD89" s="445">
        <v>39052</v>
      </c>
      <c r="BN89" s="255"/>
      <c r="BO89" s="255"/>
      <c r="BP89" s="255"/>
      <c r="BQ89" s="258">
        <v>438000</v>
      </c>
      <c r="BR89" s="258">
        <v>0</v>
      </c>
      <c r="BS89" s="258">
        <v>438000</v>
      </c>
      <c r="BT89" s="255">
        <v>4</v>
      </c>
      <c r="BU89" s="256">
        <v>39098</v>
      </c>
      <c r="BV89" s="306"/>
      <c r="BY89" s="343" t="s">
        <v>747</v>
      </c>
      <c r="BZ89" s="326">
        <v>39103</v>
      </c>
      <c r="CA89" s="258">
        <f>BQ89</f>
        <v>438000</v>
      </c>
      <c r="CK89" s="258">
        <f t="shared" si="156"/>
        <v>0</v>
      </c>
      <c r="DA89" s="240"/>
      <c r="FD89" s="159">
        <f t="shared" si="155"/>
        <v>438000</v>
      </c>
    </row>
    <row r="90" spans="2:160" ht="12.75" customHeight="1">
      <c r="B90" s="322"/>
      <c r="C90" s="300"/>
      <c r="E90" s="241" t="s">
        <v>626</v>
      </c>
      <c r="F90" s="241"/>
      <c r="G90" s="241"/>
      <c r="H90" s="242">
        <v>220000</v>
      </c>
      <c r="I90" s="243"/>
      <c r="J90" s="243"/>
      <c r="K90" s="243"/>
      <c r="L90" s="243"/>
      <c r="M90" s="242">
        <v>220000</v>
      </c>
      <c r="N90" s="242"/>
      <c r="O90" s="242"/>
      <c r="P90" s="242"/>
      <c r="Q90" s="242"/>
      <c r="R90" s="242">
        <f>+V76-T76</f>
        <v>2776139.43</v>
      </c>
      <c r="S90" s="242"/>
      <c r="T90" s="242"/>
      <c r="U90" s="242"/>
      <c r="V90" s="242">
        <v>220000</v>
      </c>
      <c r="X90" s="243"/>
      <c r="Y90" s="312">
        <v>220000</v>
      </c>
      <c r="Z90" s="312">
        <f>V90*0.15</f>
        <v>33000</v>
      </c>
      <c r="AA90" s="243">
        <f>V90*0.5</f>
        <v>110000</v>
      </c>
      <c r="AB90" s="243">
        <f>+V90*0.35</f>
        <v>77000</v>
      </c>
      <c r="AC90" s="243">
        <f>+AB90+AA90</f>
        <v>187000</v>
      </c>
      <c r="AD90" s="243"/>
      <c r="AE90" s="243"/>
      <c r="AG90" s="243"/>
      <c r="BC90" s="444">
        <v>292</v>
      </c>
      <c r="BD90" s="445">
        <v>39058</v>
      </c>
      <c r="BN90" s="255"/>
      <c r="BO90" s="255"/>
      <c r="BP90" s="255"/>
      <c r="CA90" s="258">
        <f>BQ90</f>
        <v>0</v>
      </c>
      <c r="CK90" s="258">
        <f t="shared" si="156"/>
        <v>0</v>
      </c>
      <c r="DA90" s="240"/>
      <c r="FD90" s="159">
        <f t="shared" si="155"/>
        <v>0</v>
      </c>
    </row>
    <row r="91" spans="2:160" ht="12.75" customHeight="1">
      <c r="B91" s="322"/>
      <c r="C91" s="300"/>
      <c r="E91" s="241" t="s">
        <v>703</v>
      </c>
      <c r="F91" s="241"/>
      <c r="G91" s="241"/>
      <c r="H91" s="242">
        <v>1260000</v>
      </c>
      <c r="I91" s="243"/>
      <c r="J91" s="243"/>
      <c r="K91" s="243"/>
      <c r="L91" s="243"/>
      <c r="M91" s="242">
        <v>1260000</v>
      </c>
      <c r="N91" s="243"/>
      <c r="O91" s="243"/>
      <c r="P91" s="243"/>
      <c r="Q91" s="243"/>
      <c r="R91" s="243"/>
      <c r="S91" s="243"/>
      <c r="T91" s="243"/>
      <c r="U91" s="243"/>
      <c r="V91" s="242">
        <v>1260000</v>
      </c>
      <c r="X91" s="243"/>
      <c r="Y91" s="312">
        <v>1260000</v>
      </c>
      <c r="Z91" s="312">
        <v>1260000</v>
      </c>
      <c r="AA91" s="243">
        <v>0</v>
      </c>
      <c r="AB91" s="243">
        <v>0</v>
      </c>
      <c r="AC91" s="243">
        <v>0</v>
      </c>
      <c r="AD91" s="243"/>
      <c r="AE91" s="243"/>
      <c r="AG91" s="243"/>
      <c r="BC91" s="444">
        <v>134</v>
      </c>
      <c r="BD91" s="445">
        <v>39052</v>
      </c>
      <c r="BN91" s="255"/>
      <c r="BO91" s="255"/>
      <c r="BP91" s="255"/>
      <c r="BQ91" s="258">
        <v>438000</v>
      </c>
      <c r="BS91" s="258">
        <v>438000</v>
      </c>
      <c r="BT91" s="255">
        <v>270</v>
      </c>
      <c r="BU91" s="256">
        <v>39331</v>
      </c>
      <c r="BV91" s="306"/>
      <c r="BY91" s="305" t="s">
        <v>737</v>
      </c>
      <c r="BZ91" s="256">
        <v>39349</v>
      </c>
      <c r="CA91" s="258">
        <f>BQ91</f>
        <v>438000</v>
      </c>
      <c r="CK91" s="258">
        <f t="shared" si="156"/>
        <v>0</v>
      </c>
      <c r="DA91" s="240"/>
      <c r="FD91" s="159">
        <f t="shared" si="155"/>
        <v>438000</v>
      </c>
    </row>
    <row r="92" spans="2:160" ht="12.75" customHeight="1">
      <c r="B92" s="322"/>
      <c r="C92" s="300"/>
      <c r="E92" s="241" t="s">
        <v>704</v>
      </c>
      <c r="F92" s="241"/>
      <c r="G92" s="241"/>
      <c r="H92" s="242">
        <v>220000</v>
      </c>
      <c r="I92" s="243"/>
      <c r="J92" s="243"/>
      <c r="K92" s="243"/>
      <c r="L92" s="243"/>
      <c r="M92" s="242">
        <v>220000</v>
      </c>
      <c r="N92" s="243"/>
      <c r="O92" s="243"/>
      <c r="P92" s="243"/>
      <c r="Q92" s="243"/>
      <c r="R92" s="243"/>
      <c r="S92" s="243"/>
      <c r="T92" s="243"/>
      <c r="U92" s="243"/>
      <c r="V92" s="242">
        <v>220000</v>
      </c>
      <c r="X92" s="243"/>
      <c r="Y92" s="312">
        <v>220000</v>
      </c>
      <c r="Z92" s="312">
        <f>V92*0.15</f>
        <v>33000</v>
      </c>
      <c r="AA92" s="243">
        <f>V92*0.5</f>
        <v>110000</v>
      </c>
      <c r="AB92" s="243">
        <f>+V92*0.35</f>
        <v>77000</v>
      </c>
      <c r="AC92" s="243">
        <f>+AB92+AA92</f>
        <v>187000</v>
      </c>
      <c r="AD92" s="243"/>
      <c r="AE92" s="243"/>
      <c r="AG92" s="243"/>
      <c r="BC92" s="444">
        <v>292</v>
      </c>
      <c r="BD92" s="445">
        <v>39058</v>
      </c>
      <c r="BN92" s="255"/>
      <c r="BO92" s="255"/>
      <c r="BP92" s="255"/>
      <c r="BU92" s="256"/>
      <c r="BY92" s="305"/>
      <c r="BZ92" s="256"/>
      <c r="CA92" s="258">
        <f aca="true" t="shared" si="157" ref="CA92:CA97">BQ92</f>
        <v>0</v>
      </c>
      <c r="CK92" s="258">
        <f t="shared" si="156"/>
        <v>0</v>
      </c>
      <c r="DA92" s="240"/>
      <c r="FD92" s="159">
        <f t="shared" si="155"/>
        <v>0</v>
      </c>
    </row>
    <row r="93" spans="2:160" ht="12.75" customHeight="1">
      <c r="B93" s="322"/>
      <c r="C93" s="300"/>
      <c r="E93" s="241" t="s">
        <v>627</v>
      </c>
      <c r="F93" s="241" t="s">
        <v>634</v>
      </c>
      <c r="G93" s="241"/>
      <c r="H93" s="242">
        <v>340000</v>
      </c>
      <c r="I93" s="243"/>
      <c r="J93" s="243"/>
      <c r="K93" s="243"/>
      <c r="L93" s="243"/>
      <c r="M93" s="243">
        <v>340000</v>
      </c>
      <c r="N93" s="243"/>
      <c r="O93" s="243"/>
      <c r="P93" s="243"/>
      <c r="Q93" s="243"/>
      <c r="R93" s="243"/>
      <c r="S93" s="243"/>
      <c r="T93" s="243"/>
      <c r="U93" s="243"/>
      <c r="V93" s="242">
        <v>340000</v>
      </c>
      <c r="X93" s="243"/>
      <c r="Y93" s="312">
        <v>340000</v>
      </c>
      <c r="Z93" s="312">
        <f>V93*0.15</f>
        <v>51000</v>
      </c>
      <c r="AA93" s="243">
        <f>V93*0.5</f>
        <v>170000</v>
      </c>
      <c r="AB93" s="243">
        <f>+V93*0.35</f>
        <v>118999.99999999999</v>
      </c>
      <c r="AC93" s="243">
        <f>+AB93+AA93</f>
        <v>289000</v>
      </c>
      <c r="AD93" s="243"/>
      <c r="AE93" s="243"/>
      <c r="AG93" s="243"/>
      <c r="AN93" s="240" t="s">
        <v>635</v>
      </c>
      <c r="AO93" s="240" t="s">
        <v>636</v>
      </c>
      <c r="AP93" s="240" t="s">
        <v>637</v>
      </c>
      <c r="AQ93" s="240" t="s">
        <v>1337</v>
      </c>
      <c r="AR93" s="240">
        <v>70010</v>
      </c>
      <c r="BC93" s="444">
        <v>292</v>
      </c>
      <c r="BD93" s="445">
        <v>39058</v>
      </c>
      <c r="BN93" s="255"/>
      <c r="BO93" s="255"/>
      <c r="BP93" s="255"/>
      <c r="BQ93" s="258">
        <v>213150</v>
      </c>
      <c r="BR93" s="258">
        <v>181177.5</v>
      </c>
      <c r="BS93" s="258">
        <v>31972.5</v>
      </c>
      <c r="BT93" s="255">
        <v>2</v>
      </c>
      <c r="BU93" s="256">
        <v>39093</v>
      </c>
      <c r="BV93" s="306"/>
      <c r="BY93" s="305" t="s">
        <v>639</v>
      </c>
      <c r="BZ93" s="256">
        <v>39105</v>
      </c>
      <c r="CA93" s="258">
        <f>BQ93</f>
        <v>213150</v>
      </c>
      <c r="CK93" s="258">
        <f>+CD93</f>
        <v>0</v>
      </c>
      <c r="DA93" s="240"/>
      <c r="FD93" s="159">
        <f>CA93+CK93+CU93+DE93</f>
        <v>213150</v>
      </c>
    </row>
    <row r="94" spans="2:160" ht="12.75" customHeight="1">
      <c r="B94" s="322"/>
      <c r="C94" s="300"/>
      <c r="E94" s="241" t="s">
        <v>705</v>
      </c>
      <c r="F94" s="241"/>
      <c r="G94" s="241"/>
      <c r="H94" s="243">
        <v>2709000</v>
      </c>
      <c r="I94" s="243"/>
      <c r="J94" s="243"/>
      <c r="K94" s="243"/>
      <c r="L94" s="243"/>
      <c r="M94" s="243">
        <v>2709000</v>
      </c>
      <c r="N94" s="243"/>
      <c r="O94" s="243"/>
      <c r="P94" s="243"/>
      <c r="Q94" s="243"/>
      <c r="R94" s="243"/>
      <c r="S94" s="243"/>
      <c r="T94" s="243"/>
      <c r="U94" s="243"/>
      <c r="V94" s="243">
        <v>2709000</v>
      </c>
      <c r="X94" s="243"/>
      <c r="Y94" s="312">
        <v>2709000</v>
      </c>
      <c r="Z94" s="312">
        <f>Y94</f>
        <v>2709000</v>
      </c>
      <c r="AA94" s="243">
        <v>0</v>
      </c>
      <c r="AB94" s="243">
        <v>0</v>
      </c>
      <c r="AC94" s="243">
        <v>0</v>
      </c>
      <c r="AD94" s="243"/>
      <c r="AE94" s="243"/>
      <c r="AG94" s="243"/>
      <c r="BC94" s="444">
        <v>321</v>
      </c>
      <c r="BD94" s="445">
        <v>38637</v>
      </c>
      <c r="BN94" s="255"/>
      <c r="BO94" s="255"/>
      <c r="BP94" s="255"/>
      <c r="BQ94" s="258">
        <v>812700</v>
      </c>
      <c r="BR94" s="258">
        <v>0</v>
      </c>
      <c r="BS94" s="258">
        <f>+BQ94</f>
        <v>812700</v>
      </c>
      <c r="BT94" s="255">
        <v>85</v>
      </c>
      <c r="BU94" s="256">
        <v>38673</v>
      </c>
      <c r="BV94" s="306"/>
      <c r="CA94" s="258">
        <f t="shared" si="157"/>
        <v>812700</v>
      </c>
      <c r="CD94" s="258">
        <v>802211.42</v>
      </c>
      <c r="CF94" s="258">
        <f>CD94</f>
        <v>802211.42</v>
      </c>
      <c r="CG94" s="240">
        <v>278</v>
      </c>
      <c r="CH94" s="256">
        <v>39343</v>
      </c>
      <c r="CI94" s="344" t="s">
        <v>754</v>
      </c>
      <c r="CJ94" s="256">
        <v>39360</v>
      </c>
      <c r="CK94" s="258">
        <f t="shared" si="156"/>
        <v>802211.42</v>
      </c>
      <c r="DA94" s="240"/>
      <c r="FD94" s="159">
        <f t="shared" si="155"/>
        <v>1614911.42</v>
      </c>
    </row>
    <row r="95" spans="2:160" ht="12.75" customHeight="1">
      <c r="B95" s="322"/>
      <c r="C95" s="300"/>
      <c r="E95" s="241" t="s">
        <v>706</v>
      </c>
      <c r="F95" s="241"/>
      <c r="G95" s="241"/>
      <c r="H95" s="242">
        <v>1286000</v>
      </c>
      <c r="I95" s="243"/>
      <c r="J95" s="243"/>
      <c r="K95" s="243"/>
      <c r="L95" s="243"/>
      <c r="M95" s="242">
        <v>1286000</v>
      </c>
      <c r="N95" s="243"/>
      <c r="O95" s="243"/>
      <c r="P95" s="243"/>
      <c r="Q95" s="243"/>
      <c r="R95" s="243"/>
      <c r="S95" s="243"/>
      <c r="T95" s="243"/>
      <c r="U95" s="243"/>
      <c r="V95" s="242">
        <v>1286000</v>
      </c>
      <c r="X95" s="243"/>
      <c r="Y95" s="312">
        <v>1286000</v>
      </c>
      <c r="Z95" s="312">
        <v>1286000</v>
      </c>
      <c r="AA95" s="243">
        <v>0</v>
      </c>
      <c r="AB95" s="243">
        <v>0</v>
      </c>
      <c r="AC95" s="243">
        <v>0</v>
      </c>
      <c r="AD95" s="243"/>
      <c r="AE95" s="243"/>
      <c r="AG95" s="243"/>
      <c r="BC95" s="444">
        <v>321</v>
      </c>
      <c r="BD95" s="445">
        <v>38637</v>
      </c>
      <c r="BN95" s="255"/>
      <c r="BO95" s="255"/>
      <c r="BP95" s="255"/>
      <c r="BQ95" s="258">
        <v>385800</v>
      </c>
      <c r="BR95" s="258">
        <v>0</v>
      </c>
      <c r="BS95" s="258">
        <f>+BQ95</f>
        <v>385800</v>
      </c>
      <c r="BT95" s="255">
        <v>86</v>
      </c>
      <c r="BU95" s="256">
        <v>38673</v>
      </c>
      <c r="BV95" s="306"/>
      <c r="CA95" s="258">
        <f t="shared" si="157"/>
        <v>385800</v>
      </c>
      <c r="CK95" s="258">
        <f t="shared" si="156"/>
        <v>0</v>
      </c>
      <c r="DA95" s="240"/>
      <c r="FD95" s="159">
        <f t="shared" si="155"/>
        <v>385800</v>
      </c>
    </row>
    <row r="96" spans="2:160" ht="12.75" customHeight="1">
      <c r="B96" s="322"/>
      <c r="C96" s="300"/>
      <c r="E96" s="241" t="s">
        <v>707</v>
      </c>
      <c r="F96" s="241"/>
      <c r="G96" s="241"/>
      <c r="H96" s="242">
        <v>1224000</v>
      </c>
      <c r="I96" s="243"/>
      <c r="J96" s="243"/>
      <c r="K96" s="243"/>
      <c r="L96" s="243"/>
      <c r="M96" s="242">
        <v>1224000</v>
      </c>
      <c r="N96" s="243"/>
      <c r="O96" s="243"/>
      <c r="P96" s="243"/>
      <c r="Q96" s="243"/>
      <c r="R96" s="243"/>
      <c r="S96" s="243"/>
      <c r="T96" s="243"/>
      <c r="U96" s="243"/>
      <c r="V96" s="242">
        <v>1224000</v>
      </c>
      <c r="X96" s="243"/>
      <c r="Y96" s="312">
        <v>1224000</v>
      </c>
      <c r="Z96" s="312">
        <v>1224000</v>
      </c>
      <c r="AA96" s="243">
        <v>0</v>
      </c>
      <c r="AB96" s="243">
        <v>0</v>
      </c>
      <c r="AC96" s="243">
        <v>0</v>
      </c>
      <c r="AD96" s="243"/>
      <c r="AE96" s="243"/>
      <c r="AG96" s="243"/>
      <c r="BC96" s="444">
        <v>321</v>
      </c>
      <c r="BD96" s="445">
        <v>38637</v>
      </c>
      <c r="BN96" s="255"/>
      <c r="BO96" s="255"/>
      <c r="BP96" s="255"/>
      <c r="BQ96" s="258">
        <v>367200</v>
      </c>
      <c r="BR96" s="258">
        <v>0</v>
      </c>
      <c r="BS96" s="258">
        <f>+BQ96</f>
        <v>367200</v>
      </c>
      <c r="BT96" s="255">
        <v>86</v>
      </c>
      <c r="BU96" s="256">
        <v>38673</v>
      </c>
      <c r="BV96" s="306"/>
      <c r="CA96" s="258">
        <f t="shared" si="157"/>
        <v>367200</v>
      </c>
      <c r="CK96" s="258">
        <f t="shared" si="156"/>
        <v>0</v>
      </c>
      <c r="DA96" s="240"/>
      <c r="FD96" s="159">
        <f t="shared" si="155"/>
        <v>367200</v>
      </c>
    </row>
    <row r="97" spans="2:160" ht="12.75" customHeight="1">
      <c r="B97" s="322"/>
      <c r="C97" s="300"/>
      <c r="E97" s="241" t="s">
        <v>708</v>
      </c>
      <c r="F97" s="241"/>
      <c r="G97" s="241"/>
      <c r="H97" s="242">
        <v>482000</v>
      </c>
      <c r="I97" s="243"/>
      <c r="J97" s="243"/>
      <c r="K97" s="243"/>
      <c r="L97" s="243"/>
      <c r="M97" s="242">
        <v>482000</v>
      </c>
      <c r="N97" s="243"/>
      <c r="O97" s="243"/>
      <c r="P97" s="243"/>
      <c r="Q97" s="243"/>
      <c r="R97" s="243"/>
      <c r="S97" s="243"/>
      <c r="T97" s="243"/>
      <c r="U97" s="243"/>
      <c r="V97" s="242">
        <v>482000</v>
      </c>
      <c r="X97" s="243"/>
      <c r="Y97" s="312">
        <v>482000</v>
      </c>
      <c r="Z97" s="312">
        <v>482000</v>
      </c>
      <c r="AA97" s="243">
        <v>0</v>
      </c>
      <c r="AB97" s="243">
        <v>0</v>
      </c>
      <c r="AC97" s="243">
        <v>0</v>
      </c>
      <c r="AD97" s="243"/>
      <c r="AE97" s="243"/>
      <c r="AG97" s="243"/>
      <c r="BC97" s="444">
        <v>208</v>
      </c>
      <c r="BD97" s="445">
        <v>38567</v>
      </c>
      <c r="BN97" s="255"/>
      <c r="BO97" s="255"/>
      <c r="BP97" s="255"/>
      <c r="BQ97" s="258">
        <v>72300</v>
      </c>
      <c r="BS97" s="258">
        <v>72300</v>
      </c>
      <c r="BT97" s="255">
        <v>271</v>
      </c>
      <c r="BU97" s="256">
        <v>39331</v>
      </c>
      <c r="BY97" s="255">
        <v>14798</v>
      </c>
      <c r="BZ97" s="256">
        <v>39349</v>
      </c>
      <c r="CA97" s="258">
        <f t="shared" si="157"/>
        <v>72300</v>
      </c>
      <c r="CK97" s="258">
        <f t="shared" si="156"/>
        <v>0</v>
      </c>
      <c r="DA97" s="240"/>
      <c r="FD97" s="159">
        <f t="shared" si="155"/>
        <v>72300</v>
      </c>
    </row>
    <row r="98" spans="1:174" s="294" customFormat="1" ht="12.75" customHeight="1">
      <c r="A98" s="600"/>
      <c r="B98" s="184"/>
      <c r="C98" s="323"/>
      <c r="D98" s="284"/>
      <c r="E98" s="286"/>
      <c r="F98" s="286"/>
      <c r="G98" s="286"/>
      <c r="H98" s="287"/>
      <c r="I98" s="288"/>
      <c r="J98" s="288"/>
      <c r="K98" s="288"/>
      <c r="L98" s="288"/>
      <c r="M98" s="288"/>
      <c r="N98" s="288"/>
      <c r="O98" s="288"/>
      <c r="P98" s="288"/>
      <c r="Q98" s="288"/>
      <c r="R98" s="288"/>
      <c r="S98" s="288"/>
      <c r="T98" s="288"/>
      <c r="U98" s="288"/>
      <c r="V98" s="288"/>
      <c r="W98" s="288"/>
      <c r="X98" s="288"/>
      <c r="Y98" s="330">
        <f>SUM(Y87:Y97)</f>
        <v>10481000</v>
      </c>
      <c r="Z98" s="288"/>
      <c r="AA98" s="288"/>
      <c r="AB98" s="288"/>
      <c r="AC98" s="288"/>
      <c r="AD98" s="288"/>
      <c r="AE98" s="288"/>
      <c r="AF98" s="289"/>
      <c r="AG98" s="288"/>
      <c r="AH98" s="290"/>
      <c r="AI98" s="291"/>
      <c r="AJ98" s="289"/>
      <c r="AK98" s="291"/>
      <c r="AL98" s="290"/>
      <c r="AM98" s="284"/>
      <c r="AN98" s="284"/>
      <c r="AO98" s="284"/>
      <c r="AP98" s="284"/>
      <c r="AQ98" s="284"/>
      <c r="AR98" s="284"/>
      <c r="AS98" s="284"/>
      <c r="AT98" s="284"/>
      <c r="AU98" s="284"/>
      <c r="AV98" s="284"/>
      <c r="AW98" s="291"/>
      <c r="AX98" s="291"/>
      <c r="AY98" s="292"/>
      <c r="AZ98" s="292"/>
      <c r="BA98" s="291"/>
      <c r="BB98" s="291"/>
      <c r="BC98" s="446"/>
      <c r="BD98" s="446"/>
      <c r="BE98" s="284"/>
      <c r="BF98" s="293"/>
      <c r="BG98" s="293"/>
      <c r="BH98" s="288"/>
      <c r="BQ98" s="296"/>
      <c r="BR98" s="296"/>
      <c r="BS98" s="296"/>
      <c r="CC98" s="297"/>
      <c r="CD98" s="296"/>
      <c r="CE98" s="296"/>
      <c r="CF98" s="296"/>
      <c r="CG98" s="284"/>
      <c r="CH98" s="298"/>
      <c r="CL98" s="296"/>
      <c r="CN98" s="296"/>
      <c r="DA98" s="284"/>
      <c r="FD98" s="391">
        <f>SUM(FD87:FD97)</f>
        <v>4224800.72</v>
      </c>
      <c r="FE98" s="299"/>
      <c r="FF98" s="299"/>
      <c r="FJ98" s="424"/>
      <c r="FR98" s="296"/>
    </row>
    <row r="99" spans="2:105" ht="12.75" customHeight="1">
      <c r="B99" s="322"/>
      <c r="C99" s="300"/>
      <c r="E99" s="241"/>
      <c r="F99" s="241"/>
      <c r="G99" s="241"/>
      <c r="H99" s="242"/>
      <c r="I99" s="243"/>
      <c r="J99" s="243"/>
      <c r="K99" s="243"/>
      <c r="L99" s="243"/>
      <c r="M99" s="243"/>
      <c r="N99" s="243"/>
      <c r="O99" s="243"/>
      <c r="P99" s="243"/>
      <c r="Q99" s="243"/>
      <c r="R99" s="243"/>
      <c r="S99" s="243"/>
      <c r="T99" s="243"/>
      <c r="U99" s="243"/>
      <c r="V99" s="243"/>
      <c r="X99" s="243"/>
      <c r="Y99" s="243"/>
      <c r="Z99" s="243"/>
      <c r="AA99" s="243"/>
      <c r="AB99" s="243"/>
      <c r="AC99" s="243"/>
      <c r="AD99" s="243"/>
      <c r="AE99" s="243"/>
      <c r="AG99" s="243"/>
      <c r="BN99" s="255"/>
      <c r="BO99" s="255"/>
      <c r="BP99" s="255"/>
      <c r="DA99" s="240"/>
    </row>
    <row r="100" spans="2:105" ht="12.75" customHeight="1">
      <c r="B100" s="322"/>
      <c r="C100" s="300"/>
      <c r="E100" s="241"/>
      <c r="F100" s="241"/>
      <c r="G100" s="241"/>
      <c r="H100" s="242"/>
      <c r="I100" s="243"/>
      <c r="J100" s="243"/>
      <c r="K100" s="243"/>
      <c r="L100" s="243"/>
      <c r="M100" s="243"/>
      <c r="N100" s="243"/>
      <c r="O100" s="347"/>
      <c r="P100" s="347"/>
      <c r="Q100" s="347"/>
      <c r="R100" s="347"/>
      <c r="S100" s="347"/>
      <c r="T100" s="347"/>
      <c r="U100" s="400">
        <f>+U85+U72+U51+U33+U21</f>
        <v>108246081.92</v>
      </c>
      <c r="V100" s="347"/>
      <c r="W100" s="347"/>
      <c r="X100" s="347"/>
      <c r="Y100" s="347"/>
      <c r="Z100" s="347"/>
      <c r="AA100" s="243"/>
      <c r="AB100" s="243"/>
      <c r="AC100" s="243"/>
      <c r="AD100" s="243"/>
      <c r="AE100" s="243"/>
      <c r="AG100" s="243"/>
      <c r="BN100" s="255"/>
      <c r="BO100" s="255"/>
      <c r="BP100" s="255"/>
      <c r="DA100" s="240"/>
    </row>
    <row r="101" spans="2:105" ht="20.25" customHeight="1">
      <c r="B101" s="322"/>
      <c r="C101" s="300"/>
      <c r="E101" s="241"/>
      <c r="F101" s="241"/>
      <c r="G101" s="241"/>
      <c r="H101" s="242"/>
      <c r="I101" s="243"/>
      <c r="J101" s="243"/>
      <c r="K101" s="243"/>
      <c r="L101" s="243"/>
      <c r="M101" s="243"/>
      <c r="N101" s="623" t="s">
        <v>781</v>
      </c>
      <c r="O101" s="623"/>
      <c r="P101" s="623"/>
      <c r="Q101" s="623"/>
      <c r="R101" s="623"/>
      <c r="S101" s="623"/>
      <c r="T101" s="623"/>
      <c r="U101" s="623"/>
      <c r="V101" s="623"/>
      <c r="W101" s="623"/>
      <c r="X101" s="623"/>
      <c r="Y101" s="620">
        <f>+Y21+Y33+Y64+Y85+Y98+Y72</f>
        <v>132843757.42</v>
      </c>
      <c r="Z101" s="620"/>
      <c r="AA101" s="243"/>
      <c r="AB101" s="243"/>
      <c r="AC101" s="243"/>
      <c r="AD101" s="243"/>
      <c r="AE101" s="243"/>
      <c r="AG101" s="243"/>
      <c r="BN101" s="255"/>
      <c r="BO101" s="255"/>
      <c r="BP101" s="255"/>
      <c r="DA101" s="240"/>
    </row>
    <row r="102" spans="2:105" ht="20.25" customHeight="1">
      <c r="B102" s="322"/>
      <c r="C102" s="300"/>
      <c r="E102" s="241"/>
      <c r="F102" s="241"/>
      <c r="G102" s="241"/>
      <c r="H102" s="242"/>
      <c r="I102" s="243"/>
      <c r="J102" s="243"/>
      <c r="K102" s="243"/>
      <c r="L102" s="243"/>
      <c r="M102" s="243"/>
      <c r="N102" s="243"/>
      <c r="O102" s="347"/>
      <c r="P102" s="347"/>
      <c r="Q102" s="347"/>
      <c r="R102" s="347"/>
      <c r="S102" s="347"/>
      <c r="T102" s="347"/>
      <c r="U102" s="347"/>
      <c r="V102" s="620" t="s">
        <v>778</v>
      </c>
      <c r="W102" s="620"/>
      <c r="X102" s="620"/>
      <c r="Y102" s="620">
        <v>28988439.09</v>
      </c>
      <c r="Z102" s="620"/>
      <c r="AA102" s="243"/>
      <c r="AB102" s="243"/>
      <c r="AC102" s="243"/>
      <c r="AD102" s="243"/>
      <c r="AE102" s="243"/>
      <c r="AG102" s="243"/>
      <c r="BN102" s="255"/>
      <c r="BO102" s="255"/>
      <c r="BP102" s="255"/>
      <c r="DA102" s="240"/>
    </row>
    <row r="103" spans="2:105" ht="20.25" customHeight="1">
      <c r="B103" s="322"/>
      <c r="C103" s="300"/>
      <c r="E103" s="241"/>
      <c r="F103" s="241"/>
      <c r="G103" s="241"/>
      <c r="H103" s="242"/>
      <c r="I103" s="243"/>
      <c r="J103" s="243"/>
      <c r="K103" s="243"/>
      <c r="L103" s="243"/>
      <c r="M103" s="243"/>
      <c r="N103" s="243"/>
      <c r="O103" s="347"/>
      <c r="P103" s="347"/>
      <c r="Q103" s="347"/>
      <c r="R103" s="347"/>
      <c r="S103" s="347"/>
      <c r="T103" s="347"/>
      <c r="U103" s="347"/>
      <c r="V103" s="620" t="s">
        <v>779</v>
      </c>
      <c r="W103" s="620"/>
      <c r="X103" s="620"/>
      <c r="Y103" s="620">
        <v>9999949.760000002</v>
      </c>
      <c r="Z103" s="620"/>
      <c r="AA103" s="243"/>
      <c r="AB103" s="243"/>
      <c r="AC103" s="243"/>
      <c r="AD103" s="243"/>
      <c r="AE103" s="243"/>
      <c r="AG103" s="243"/>
      <c r="BN103" s="255"/>
      <c r="BO103" s="255"/>
      <c r="BP103" s="255"/>
      <c r="DA103" s="240"/>
    </row>
    <row r="104" spans="2:105" ht="20.25" customHeight="1">
      <c r="B104" s="322"/>
      <c r="C104" s="300"/>
      <c r="E104" s="241"/>
      <c r="F104" s="241"/>
      <c r="G104" s="241"/>
      <c r="H104" s="242"/>
      <c r="I104" s="243"/>
      <c r="J104" s="243"/>
      <c r="K104" s="243"/>
      <c r="L104" s="243"/>
      <c r="M104" s="243"/>
      <c r="N104" s="243"/>
      <c r="O104" s="347"/>
      <c r="P104" s="347"/>
      <c r="Q104" s="347"/>
      <c r="R104" s="347"/>
      <c r="S104" s="347"/>
      <c r="T104" s="347"/>
      <c r="U104" s="347"/>
      <c r="V104" s="620" t="s">
        <v>780</v>
      </c>
      <c r="W104" s="620"/>
      <c r="X104" s="620"/>
      <c r="Y104" s="620">
        <f>SUM(Y101:Z103)</f>
        <v>171832146.26999998</v>
      </c>
      <c r="Z104" s="620"/>
      <c r="AA104" s="243"/>
      <c r="AB104" s="243"/>
      <c r="AC104" s="243"/>
      <c r="AD104" s="243"/>
      <c r="AE104" s="243"/>
      <c r="AG104" s="243"/>
      <c r="BN104" s="255"/>
      <c r="BO104" s="255"/>
      <c r="BP104" s="255"/>
      <c r="DA104" s="240"/>
    </row>
    <row r="105" spans="2:105" ht="12.75" customHeight="1">
      <c r="B105" s="322"/>
      <c r="C105" s="300"/>
      <c r="E105" s="241"/>
      <c r="F105" s="241"/>
      <c r="G105" s="241"/>
      <c r="H105" s="242"/>
      <c r="I105" s="243"/>
      <c r="J105" s="243"/>
      <c r="K105" s="243"/>
      <c r="L105" s="243"/>
      <c r="M105" s="243"/>
      <c r="N105" s="243"/>
      <c r="O105" s="243"/>
      <c r="P105" s="243"/>
      <c r="Q105" s="243"/>
      <c r="R105" s="243"/>
      <c r="S105" s="243"/>
      <c r="T105" s="243"/>
      <c r="U105" s="243"/>
      <c r="V105" s="243"/>
      <c r="X105" s="243"/>
      <c r="Y105" s="243"/>
      <c r="Z105" s="243"/>
      <c r="AA105" s="243"/>
      <c r="AB105" s="243"/>
      <c r="AC105" s="243"/>
      <c r="AD105" s="243"/>
      <c r="AE105" s="243"/>
      <c r="AG105" s="243"/>
      <c r="BN105" s="255"/>
      <c r="BO105" s="255"/>
      <c r="BP105" s="255"/>
      <c r="DA105" s="240"/>
    </row>
    <row r="106" spans="2:169" ht="12.75" customHeight="1">
      <c r="B106" s="322"/>
      <c r="C106" s="300"/>
      <c r="E106" s="241"/>
      <c r="F106" s="241"/>
      <c r="G106" s="241"/>
      <c r="H106" s="242"/>
      <c r="I106" s="243"/>
      <c r="J106" s="243"/>
      <c r="K106" s="243"/>
      <c r="L106" s="243"/>
      <c r="M106" s="243"/>
      <c r="N106" s="243"/>
      <c r="O106" s="243"/>
      <c r="P106" s="243"/>
      <c r="Q106" s="243"/>
      <c r="R106" s="243"/>
      <c r="S106" s="243"/>
      <c r="T106" s="243"/>
      <c r="U106" s="243"/>
      <c r="V106" s="243"/>
      <c r="X106" s="243"/>
      <c r="Y106" s="243"/>
      <c r="Z106" s="243"/>
      <c r="AA106" s="243"/>
      <c r="AB106" s="243"/>
      <c r="AC106" s="243"/>
      <c r="AD106" s="243"/>
      <c r="AE106" s="243"/>
      <c r="AG106" s="243"/>
      <c r="BN106" s="255"/>
      <c r="BO106" s="255"/>
      <c r="BP106" s="255"/>
      <c r="DA106" s="240"/>
      <c r="FK106" s="255">
        <v>524512.56</v>
      </c>
      <c r="FL106" s="255" t="e">
        <f>+FK106-#REF!</f>
        <v>#REF!</v>
      </c>
      <c r="FM106" s="255" t="e">
        <f>+FL106-283195</f>
        <v>#REF!</v>
      </c>
    </row>
    <row r="107" spans="2:105" ht="12.75" customHeight="1">
      <c r="B107" s="322"/>
      <c r="C107" s="300"/>
      <c r="E107" s="241"/>
      <c r="F107" s="241"/>
      <c r="G107" s="241"/>
      <c r="H107" s="242"/>
      <c r="I107" s="243"/>
      <c r="J107" s="243"/>
      <c r="K107" s="243"/>
      <c r="L107" s="243"/>
      <c r="M107" s="243"/>
      <c r="N107" s="243"/>
      <c r="O107" s="243"/>
      <c r="P107" s="243"/>
      <c r="Q107" s="243"/>
      <c r="R107" s="243"/>
      <c r="S107" s="243"/>
      <c r="T107" s="243"/>
      <c r="U107" s="243"/>
      <c r="V107" s="243"/>
      <c r="X107" s="243"/>
      <c r="Y107" s="243"/>
      <c r="Z107" s="243"/>
      <c r="AA107" s="243"/>
      <c r="AB107" s="243"/>
      <c r="AC107" s="243"/>
      <c r="AD107" s="243"/>
      <c r="AE107" s="243"/>
      <c r="AG107" s="243"/>
      <c r="BN107" s="255"/>
      <c r="BO107" s="255"/>
      <c r="BP107" s="255"/>
      <c r="DA107" s="240"/>
    </row>
    <row r="108" spans="2:68" ht="12.75" customHeight="1">
      <c r="B108" s="322"/>
      <c r="C108" s="300"/>
      <c r="E108" s="241"/>
      <c r="F108" s="241"/>
      <c r="G108" s="241"/>
      <c r="H108" s="242"/>
      <c r="I108" s="243"/>
      <c r="J108" s="243"/>
      <c r="K108" s="243"/>
      <c r="L108" s="243"/>
      <c r="M108" s="243"/>
      <c r="N108" s="243"/>
      <c r="O108" s="243"/>
      <c r="P108" s="243"/>
      <c r="Q108" s="243"/>
      <c r="R108" s="243"/>
      <c r="S108" s="243"/>
      <c r="T108" s="243"/>
      <c r="U108" s="243"/>
      <c r="V108" s="243"/>
      <c r="X108" s="243"/>
      <c r="Y108" s="243"/>
      <c r="Z108" s="243"/>
      <c r="AA108" s="243"/>
      <c r="AB108" s="243"/>
      <c r="AC108" s="243"/>
      <c r="AD108" s="243"/>
      <c r="AE108" s="243"/>
      <c r="AG108" s="243"/>
      <c r="BN108" s="255"/>
      <c r="BO108" s="255"/>
      <c r="BP108" s="255"/>
    </row>
    <row r="109" spans="2:68" ht="12.75" customHeight="1">
      <c r="B109" s="322"/>
      <c r="C109" s="300"/>
      <c r="E109" s="241"/>
      <c r="F109" s="241"/>
      <c r="G109" s="241"/>
      <c r="H109" s="242"/>
      <c r="I109" s="243"/>
      <c r="J109" s="243"/>
      <c r="K109" s="243"/>
      <c r="L109" s="243"/>
      <c r="M109" s="243"/>
      <c r="N109" s="243"/>
      <c r="O109" s="243"/>
      <c r="P109" s="243"/>
      <c r="Q109" s="243"/>
      <c r="R109" s="243"/>
      <c r="S109" s="243"/>
      <c r="T109" s="243"/>
      <c r="U109" s="243"/>
      <c r="V109" s="243"/>
      <c r="X109" s="243"/>
      <c r="Y109" s="243"/>
      <c r="Z109" s="243"/>
      <c r="AA109" s="243"/>
      <c r="AB109" s="243"/>
      <c r="AC109" s="243"/>
      <c r="AD109" s="243"/>
      <c r="AE109" s="243"/>
      <c r="AG109" s="243"/>
      <c r="BN109" s="255"/>
      <c r="BO109" s="255"/>
      <c r="BP109" s="255"/>
    </row>
    <row r="110" spans="2:68" ht="12.75" customHeight="1">
      <c r="B110" s="322"/>
      <c r="C110" s="300"/>
      <c r="E110" s="241"/>
      <c r="F110" s="241"/>
      <c r="G110" s="241"/>
      <c r="H110" s="242"/>
      <c r="I110" s="243"/>
      <c r="J110" s="243"/>
      <c r="K110" s="243"/>
      <c r="L110" s="243"/>
      <c r="M110" s="243"/>
      <c r="N110" s="243"/>
      <c r="O110" s="243"/>
      <c r="P110" s="243"/>
      <c r="Q110" s="243"/>
      <c r="R110" s="243"/>
      <c r="S110" s="243"/>
      <c r="T110" s="243"/>
      <c r="U110" s="243"/>
      <c r="V110" s="243"/>
      <c r="X110" s="243"/>
      <c r="Y110" s="243"/>
      <c r="Z110" s="243"/>
      <c r="AA110" s="243"/>
      <c r="AB110" s="243"/>
      <c r="AC110" s="243"/>
      <c r="AD110" s="243"/>
      <c r="AE110" s="243"/>
      <c r="AG110" s="243"/>
      <c r="BN110" s="255"/>
      <c r="BO110" s="255"/>
      <c r="BP110" s="255"/>
    </row>
    <row r="111" spans="2:60" ht="12.75" customHeight="1">
      <c r="B111" s="120">
        <f>1+B20</f>
        <v>19</v>
      </c>
      <c r="C111" s="240">
        <v>77</v>
      </c>
      <c r="D111" s="240" t="str">
        <f aca="true" t="shared" si="158" ref="D111:D117">IF(BH111&gt;0,"SI","NO")</f>
        <v>SI</v>
      </c>
      <c r="E111" s="241" t="s">
        <v>1204</v>
      </c>
      <c r="F111" s="241" t="s">
        <v>1197</v>
      </c>
      <c r="G111" s="241"/>
      <c r="H111" s="242">
        <v>573500</v>
      </c>
      <c r="I111" s="243" t="s">
        <v>1168</v>
      </c>
      <c r="J111" s="243" t="str">
        <f aca="true" t="shared" si="159" ref="J111:J117">IF(I111="si","è","non è")</f>
        <v>è</v>
      </c>
      <c r="K111" s="243"/>
      <c r="L111" s="243"/>
      <c r="M111" s="243"/>
      <c r="N111" s="243"/>
      <c r="O111" s="243"/>
      <c r="P111" s="243"/>
      <c r="Q111" s="243"/>
      <c r="R111" s="243"/>
      <c r="S111" s="243"/>
      <c r="T111" s="243"/>
      <c r="U111" s="243"/>
      <c r="V111" s="243">
        <f aca="true" t="shared" si="160" ref="V111:V117">(+H111-K111)*0.8</f>
        <v>458800</v>
      </c>
      <c r="W111" s="243">
        <f aca="true" t="shared" si="161" ref="W111:W117">H111*0.5</f>
        <v>286750</v>
      </c>
      <c r="X111" s="243">
        <f aca="true" t="shared" si="162" ref="X111:X117">IF(I111="si",+H111*30/100,0)</f>
        <v>172050</v>
      </c>
      <c r="Y111" s="243">
        <f aca="true" t="shared" si="163" ref="Y111:Y117">+W111+X111</f>
        <v>458800</v>
      </c>
      <c r="Z111" s="243">
        <f aca="true" t="shared" si="164" ref="Z111:Z117">+Y111*0.15</f>
        <v>68820</v>
      </c>
      <c r="AA111" s="243"/>
      <c r="AB111" s="243"/>
      <c r="AC111" s="243">
        <f aca="true" t="shared" si="165" ref="AC111:AC117">+Y111*0.85</f>
        <v>389980</v>
      </c>
      <c r="AD111" s="243"/>
      <c r="AE111" s="243"/>
      <c r="AG111" s="243"/>
      <c r="BH111" s="243">
        <f>+BH20-Y111</f>
        <v>366665.7599999998</v>
      </c>
    </row>
    <row r="112" spans="2:60" ht="12.75" customHeight="1">
      <c r="B112" s="120">
        <f aca="true" t="shared" si="166" ref="B112:B123">1+B111</f>
        <v>20</v>
      </c>
      <c r="C112" s="240">
        <v>38</v>
      </c>
      <c r="D112" s="240" t="str">
        <f t="shared" si="158"/>
        <v>NO</v>
      </c>
      <c r="E112" s="345" t="s">
        <v>1181</v>
      </c>
      <c r="F112" s="241" t="s">
        <v>1187</v>
      </c>
      <c r="G112" s="241"/>
      <c r="H112" s="242">
        <v>500000</v>
      </c>
      <c r="I112" s="243" t="s">
        <v>1168</v>
      </c>
      <c r="J112" s="243" t="str">
        <f t="shared" si="159"/>
        <v>è</v>
      </c>
      <c r="K112" s="243"/>
      <c r="L112" s="243"/>
      <c r="M112" s="243"/>
      <c r="N112" s="243"/>
      <c r="O112" s="243"/>
      <c r="P112" s="243"/>
      <c r="Q112" s="243"/>
      <c r="R112" s="243"/>
      <c r="S112" s="243"/>
      <c r="T112" s="243"/>
      <c r="U112" s="243"/>
      <c r="V112" s="243">
        <f t="shared" si="160"/>
        <v>400000</v>
      </c>
      <c r="W112" s="243">
        <f t="shared" si="161"/>
        <v>250000</v>
      </c>
      <c r="X112" s="243">
        <f t="shared" si="162"/>
        <v>150000</v>
      </c>
      <c r="Y112" s="243">
        <f t="shared" si="163"/>
        <v>400000</v>
      </c>
      <c r="Z112" s="243">
        <f t="shared" si="164"/>
        <v>60000</v>
      </c>
      <c r="AA112" s="243"/>
      <c r="AB112" s="243"/>
      <c r="AC112" s="243">
        <f t="shared" si="165"/>
        <v>340000</v>
      </c>
      <c r="AD112" s="243"/>
      <c r="AE112" s="243"/>
      <c r="AG112" s="243"/>
      <c r="BH112" s="243">
        <f aca="true" t="shared" si="167" ref="BH112:BH123">+BH111-Y112</f>
        <v>-33334.24000000022</v>
      </c>
    </row>
    <row r="113" spans="2:60" ht="12.75" customHeight="1">
      <c r="B113" s="120">
        <f t="shared" si="166"/>
        <v>21</v>
      </c>
      <c r="C113" s="240">
        <v>30</v>
      </c>
      <c r="D113" s="240" t="str">
        <f t="shared" si="158"/>
        <v>NO</v>
      </c>
      <c r="E113" s="241" t="s">
        <v>1183</v>
      </c>
      <c r="F113" s="241" t="s">
        <v>1186</v>
      </c>
      <c r="G113" s="241"/>
      <c r="H113" s="242">
        <v>450000</v>
      </c>
      <c r="I113" s="243" t="s">
        <v>1168</v>
      </c>
      <c r="J113" s="243" t="str">
        <f t="shared" si="159"/>
        <v>è</v>
      </c>
      <c r="K113" s="243"/>
      <c r="L113" s="243"/>
      <c r="M113" s="243"/>
      <c r="N113" s="243"/>
      <c r="O113" s="243"/>
      <c r="P113" s="243"/>
      <c r="Q113" s="243"/>
      <c r="R113" s="243"/>
      <c r="S113" s="243"/>
      <c r="T113" s="243"/>
      <c r="U113" s="243"/>
      <c r="V113" s="243">
        <f t="shared" si="160"/>
        <v>360000</v>
      </c>
      <c r="W113" s="243">
        <f t="shared" si="161"/>
        <v>225000</v>
      </c>
      <c r="X113" s="243">
        <f t="shared" si="162"/>
        <v>135000</v>
      </c>
      <c r="Y113" s="243">
        <f t="shared" si="163"/>
        <v>360000</v>
      </c>
      <c r="Z113" s="243">
        <f t="shared" si="164"/>
        <v>54000</v>
      </c>
      <c r="AA113" s="243"/>
      <c r="AB113" s="243"/>
      <c r="AC113" s="243">
        <f t="shared" si="165"/>
        <v>306000</v>
      </c>
      <c r="AD113" s="243"/>
      <c r="AE113" s="243"/>
      <c r="AG113" s="243"/>
      <c r="BH113" s="243">
        <f>+BH112-Y113</f>
        <v>-393334.2400000002</v>
      </c>
    </row>
    <row r="114" spans="2:60" ht="12.75" customHeight="1">
      <c r="B114" s="120">
        <f t="shared" si="166"/>
        <v>22</v>
      </c>
      <c r="C114" s="240">
        <v>29</v>
      </c>
      <c r="D114" s="240" t="str">
        <f t="shared" si="158"/>
        <v>NO</v>
      </c>
      <c r="E114" s="241" t="s">
        <v>1241</v>
      </c>
      <c r="F114" s="241" t="s">
        <v>1189</v>
      </c>
      <c r="G114" s="241"/>
      <c r="H114" s="242">
        <v>100000</v>
      </c>
      <c r="I114" s="243" t="s">
        <v>1168</v>
      </c>
      <c r="J114" s="243" t="str">
        <f t="shared" si="159"/>
        <v>è</v>
      </c>
      <c r="K114" s="243"/>
      <c r="L114" s="243"/>
      <c r="M114" s="243"/>
      <c r="N114" s="243"/>
      <c r="O114" s="243"/>
      <c r="P114" s="243"/>
      <c r="Q114" s="243"/>
      <c r="R114" s="243"/>
      <c r="S114" s="243"/>
      <c r="T114" s="243"/>
      <c r="U114" s="243"/>
      <c r="V114" s="243">
        <f t="shared" si="160"/>
        <v>80000</v>
      </c>
      <c r="W114" s="243">
        <f t="shared" si="161"/>
        <v>50000</v>
      </c>
      <c r="X114" s="243">
        <f t="shared" si="162"/>
        <v>30000</v>
      </c>
      <c r="Y114" s="243">
        <f t="shared" si="163"/>
        <v>80000</v>
      </c>
      <c r="Z114" s="243">
        <f t="shared" si="164"/>
        <v>12000</v>
      </c>
      <c r="AA114" s="243"/>
      <c r="AB114" s="243"/>
      <c r="AC114" s="243">
        <f t="shared" si="165"/>
        <v>68000</v>
      </c>
      <c r="AD114" s="243"/>
      <c r="AE114" s="243"/>
      <c r="AG114" s="243"/>
      <c r="BH114" s="243">
        <f t="shared" si="167"/>
        <v>-473334.2400000002</v>
      </c>
    </row>
    <row r="115" spans="2:60" ht="12.75" customHeight="1">
      <c r="B115" s="120">
        <f t="shared" si="166"/>
        <v>23</v>
      </c>
      <c r="C115" s="240">
        <v>27</v>
      </c>
      <c r="D115" s="240" t="str">
        <f t="shared" si="158"/>
        <v>NO</v>
      </c>
      <c r="E115" s="241" t="s">
        <v>1242</v>
      </c>
      <c r="F115" s="241" t="s">
        <v>1210</v>
      </c>
      <c r="G115" s="241"/>
      <c r="H115" s="242">
        <v>1877652</v>
      </c>
      <c r="I115" s="243" t="s">
        <v>1168</v>
      </c>
      <c r="J115" s="243" t="str">
        <f t="shared" si="159"/>
        <v>è</v>
      </c>
      <c r="K115" s="243"/>
      <c r="L115" s="243"/>
      <c r="M115" s="243"/>
      <c r="N115" s="243"/>
      <c r="O115" s="243"/>
      <c r="P115" s="243"/>
      <c r="Q115" s="243"/>
      <c r="R115" s="243"/>
      <c r="S115" s="243"/>
      <c r="T115" s="243"/>
      <c r="U115" s="243"/>
      <c r="V115" s="243">
        <f t="shared" si="160"/>
        <v>1502121.6</v>
      </c>
      <c r="W115" s="243">
        <f t="shared" si="161"/>
        <v>938826</v>
      </c>
      <c r="X115" s="243">
        <f t="shared" si="162"/>
        <v>563295.6</v>
      </c>
      <c r="Y115" s="243">
        <f t="shared" si="163"/>
        <v>1502121.6</v>
      </c>
      <c r="Z115" s="243">
        <f t="shared" si="164"/>
        <v>225318.24000000002</v>
      </c>
      <c r="AA115" s="243"/>
      <c r="AB115" s="243"/>
      <c r="AC115" s="243">
        <f t="shared" si="165"/>
        <v>1276803.36</v>
      </c>
      <c r="AD115" s="243"/>
      <c r="AE115" s="243"/>
      <c r="AG115" s="243"/>
      <c r="BH115" s="243">
        <f t="shared" si="167"/>
        <v>-1975455.8400000003</v>
      </c>
    </row>
    <row r="116" spans="2:60" ht="12.75" customHeight="1">
      <c r="B116" s="120">
        <f t="shared" si="166"/>
        <v>24</v>
      </c>
      <c r="C116" s="240">
        <v>11</v>
      </c>
      <c r="D116" s="240" t="str">
        <f t="shared" si="158"/>
        <v>NO</v>
      </c>
      <c r="E116" s="241" t="s">
        <v>1196</v>
      </c>
      <c r="F116" s="241" t="s">
        <v>1197</v>
      </c>
      <c r="G116" s="241"/>
      <c r="H116" s="242">
        <v>1500000</v>
      </c>
      <c r="I116" s="243" t="s">
        <v>1168</v>
      </c>
      <c r="J116" s="243" t="str">
        <f t="shared" si="159"/>
        <v>è</v>
      </c>
      <c r="K116" s="243"/>
      <c r="L116" s="243"/>
      <c r="M116" s="243"/>
      <c r="N116" s="243"/>
      <c r="O116" s="243"/>
      <c r="P116" s="243"/>
      <c r="Q116" s="243"/>
      <c r="R116" s="243"/>
      <c r="S116" s="243"/>
      <c r="T116" s="243"/>
      <c r="U116" s="243"/>
      <c r="V116" s="243">
        <f t="shared" si="160"/>
        <v>1200000</v>
      </c>
      <c r="W116" s="243">
        <f t="shared" si="161"/>
        <v>750000</v>
      </c>
      <c r="X116" s="243">
        <f t="shared" si="162"/>
        <v>450000</v>
      </c>
      <c r="Y116" s="243">
        <f t="shared" si="163"/>
        <v>1200000</v>
      </c>
      <c r="Z116" s="243">
        <f t="shared" si="164"/>
        <v>180000</v>
      </c>
      <c r="AA116" s="243"/>
      <c r="AB116" s="243"/>
      <c r="AC116" s="243">
        <f t="shared" si="165"/>
        <v>1020000</v>
      </c>
      <c r="AD116" s="243"/>
      <c r="AE116" s="243"/>
      <c r="AG116" s="243"/>
      <c r="BH116" s="243">
        <f t="shared" si="167"/>
        <v>-3175455.8400000003</v>
      </c>
    </row>
    <row r="117" spans="2:60" ht="12.75" customHeight="1">
      <c r="B117" s="120">
        <f t="shared" si="166"/>
        <v>25</v>
      </c>
      <c r="C117" s="240">
        <v>10</v>
      </c>
      <c r="D117" s="240" t="str">
        <f t="shared" si="158"/>
        <v>NO</v>
      </c>
      <c r="E117" s="241" t="s">
        <v>1219</v>
      </c>
      <c r="F117" s="241" t="s">
        <v>1218</v>
      </c>
      <c r="G117" s="241"/>
      <c r="H117" s="242">
        <v>294720</v>
      </c>
      <c r="I117" s="243" t="s">
        <v>1168</v>
      </c>
      <c r="J117" s="243" t="str">
        <f t="shared" si="159"/>
        <v>è</v>
      </c>
      <c r="K117" s="243"/>
      <c r="L117" s="243"/>
      <c r="M117" s="243"/>
      <c r="N117" s="243"/>
      <c r="O117" s="243"/>
      <c r="P117" s="243"/>
      <c r="Q117" s="243"/>
      <c r="R117" s="243"/>
      <c r="S117" s="243"/>
      <c r="T117" s="243"/>
      <c r="U117" s="243"/>
      <c r="V117" s="243">
        <f t="shared" si="160"/>
        <v>235776</v>
      </c>
      <c r="W117" s="243">
        <f t="shared" si="161"/>
        <v>147360</v>
      </c>
      <c r="X117" s="243">
        <f t="shared" si="162"/>
        <v>88416</v>
      </c>
      <c r="Y117" s="243">
        <f t="shared" si="163"/>
        <v>235776</v>
      </c>
      <c r="Z117" s="243">
        <f t="shared" si="164"/>
        <v>35366.4</v>
      </c>
      <c r="AA117" s="243"/>
      <c r="AB117" s="243"/>
      <c r="AC117" s="243">
        <f t="shared" si="165"/>
        <v>200409.6</v>
      </c>
      <c r="AD117" s="243"/>
      <c r="AE117" s="243"/>
      <c r="AG117" s="243"/>
      <c r="BH117" s="243">
        <f t="shared" si="167"/>
        <v>-3411231.8400000003</v>
      </c>
    </row>
    <row r="118" spans="2:60" ht="12.75" customHeight="1">
      <c r="B118" s="120">
        <f t="shared" si="166"/>
        <v>26</v>
      </c>
      <c r="E118" s="241"/>
      <c r="F118" s="241" t="s">
        <v>1228</v>
      </c>
      <c r="G118" s="241"/>
      <c r="H118" s="242"/>
      <c r="I118" s="243"/>
      <c r="J118" s="243"/>
      <c r="K118" s="243"/>
      <c r="L118" s="243"/>
      <c r="M118" s="243"/>
      <c r="N118" s="243"/>
      <c r="O118" s="243"/>
      <c r="P118" s="243"/>
      <c r="Q118" s="243"/>
      <c r="R118" s="243"/>
      <c r="S118" s="243"/>
      <c r="T118" s="243"/>
      <c r="U118" s="243"/>
      <c r="V118" s="243"/>
      <c r="X118" s="243"/>
      <c r="Y118" s="243"/>
      <c r="Z118" s="243"/>
      <c r="AA118" s="243"/>
      <c r="AB118" s="243"/>
      <c r="AC118" s="243"/>
      <c r="AD118" s="243"/>
      <c r="AE118" s="243"/>
      <c r="AG118" s="243"/>
      <c r="BH118" s="243">
        <f t="shared" si="167"/>
        <v>-3411231.8400000003</v>
      </c>
    </row>
    <row r="119" spans="2:60" ht="12.75" customHeight="1">
      <c r="B119" s="120">
        <f t="shared" si="166"/>
        <v>27</v>
      </c>
      <c r="E119" s="241"/>
      <c r="F119" s="241" t="s">
        <v>1236</v>
      </c>
      <c r="G119" s="241"/>
      <c r="H119" s="242"/>
      <c r="I119" s="243"/>
      <c r="J119" s="243"/>
      <c r="K119" s="243"/>
      <c r="L119" s="243"/>
      <c r="M119" s="243"/>
      <c r="N119" s="243"/>
      <c r="O119" s="243"/>
      <c r="P119" s="243"/>
      <c r="Q119" s="243"/>
      <c r="R119" s="243"/>
      <c r="S119" s="243"/>
      <c r="T119" s="243"/>
      <c r="U119" s="243"/>
      <c r="V119" s="243"/>
      <c r="X119" s="243"/>
      <c r="Y119" s="243"/>
      <c r="Z119" s="243"/>
      <c r="AA119" s="243"/>
      <c r="AB119" s="243"/>
      <c r="AC119" s="243"/>
      <c r="AD119" s="243"/>
      <c r="AE119" s="243"/>
      <c r="AG119" s="243"/>
      <c r="BH119" s="243">
        <f t="shared" si="167"/>
        <v>-3411231.8400000003</v>
      </c>
    </row>
    <row r="120" spans="2:60" ht="12.75" customHeight="1">
      <c r="B120" s="120">
        <f t="shared" si="166"/>
        <v>28</v>
      </c>
      <c r="E120" s="241"/>
      <c r="F120" s="241" t="s">
        <v>1235</v>
      </c>
      <c r="G120" s="241"/>
      <c r="H120" s="242"/>
      <c r="I120" s="243"/>
      <c r="J120" s="243"/>
      <c r="K120" s="243"/>
      <c r="L120" s="243"/>
      <c r="M120" s="243"/>
      <c r="N120" s="243"/>
      <c r="O120" s="243"/>
      <c r="P120" s="243"/>
      <c r="Q120" s="243"/>
      <c r="R120" s="243"/>
      <c r="S120" s="243"/>
      <c r="T120" s="243"/>
      <c r="U120" s="243"/>
      <c r="V120" s="243"/>
      <c r="X120" s="243"/>
      <c r="Y120" s="243"/>
      <c r="Z120" s="243"/>
      <c r="AA120" s="243"/>
      <c r="AB120" s="243"/>
      <c r="AC120" s="243"/>
      <c r="AD120" s="243"/>
      <c r="AE120" s="243"/>
      <c r="AG120" s="243"/>
      <c r="BH120" s="243">
        <f t="shared" si="167"/>
        <v>-3411231.8400000003</v>
      </c>
    </row>
    <row r="121" spans="2:60" ht="12.75" customHeight="1">
      <c r="B121" s="120">
        <f t="shared" si="166"/>
        <v>29</v>
      </c>
      <c r="E121" s="241"/>
      <c r="F121" s="241" t="s">
        <v>1239</v>
      </c>
      <c r="G121" s="241"/>
      <c r="H121" s="242"/>
      <c r="I121" s="243"/>
      <c r="J121" s="243"/>
      <c r="K121" s="243"/>
      <c r="L121" s="243"/>
      <c r="M121" s="243"/>
      <c r="N121" s="243"/>
      <c r="O121" s="243"/>
      <c r="P121" s="243"/>
      <c r="Q121" s="243"/>
      <c r="R121" s="243"/>
      <c r="S121" s="243"/>
      <c r="T121" s="243"/>
      <c r="U121" s="243"/>
      <c r="V121" s="243"/>
      <c r="X121" s="243"/>
      <c r="Y121" s="243"/>
      <c r="Z121" s="243"/>
      <c r="AA121" s="243"/>
      <c r="AB121" s="243"/>
      <c r="AC121" s="243"/>
      <c r="AD121" s="243"/>
      <c r="AE121" s="243"/>
      <c r="AG121" s="243"/>
      <c r="BH121" s="243">
        <f t="shared" si="167"/>
        <v>-3411231.8400000003</v>
      </c>
    </row>
    <row r="122" spans="2:60" ht="12.75" customHeight="1">
      <c r="B122" s="120">
        <f t="shared" si="166"/>
        <v>30</v>
      </c>
      <c r="E122" s="241"/>
      <c r="F122" s="241" t="s">
        <v>1240</v>
      </c>
      <c r="G122" s="241"/>
      <c r="H122" s="242"/>
      <c r="I122" s="243"/>
      <c r="J122" s="243"/>
      <c r="K122" s="243"/>
      <c r="L122" s="243"/>
      <c r="M122" s="243"/>
      <c r="N122" s="243"/>
      <c r="O122" s="243"/>
      <c r="P122" s="243"/>
      <c r="Q122" s="243"/>
      <c r="R122" s="243"/>
      <c r="S122" s="243"/>
      <c r="T122" s="243"/>
      <c r="U122" s="243"/>
      <c r="V122" s="243"/>
      <c r="X122" s="243"/>
      <c r="Y122" s="243"/>
      <c r="Z122" s="243"/>
      <c r="AA122" s="243"/>
      <c r="AB122" s="243"/>
      <c r="AC122" s="243"/>
      <c r="AD122" s="243"/>
      <c r="AE122" s="243"/>
      <c r="AG122" s="243"/>
      <c r="BH122" s="243">
        <f t="shared" si="167"/>
        <v>-3411231.8400000003</v>
      </c>
    </row>
    <row r="123" spans="2:60" ht="12.75" customHeight="1">
      <c r="B123" s="120">
        <f t="shared" si="166"/>
        <v>31</v>
      </c>
      <c r="E123" s="241"/>
      <c r="F123" s="241" t="s">
        <v>1240</v>
      </c>
      <c r="G123" s="241"/>
      <c r="H123" s="242"/>
      <c r="I123" s="243"/>
      <c r="J123" s="243"/>
      <c r="K123" s="243"/>
      <c r="L123" s="243"/>
      <c r="M123" s="243"/>
      <c r="N123" s="243"/>
      <c r="O123" s="243"/>
      <c r="P123" s="243"/>
      <c r="Q123" s="243"/>
      <c r="R123" s="243"/>
      <c r="S123" s="243"/>
      <c r="T123" s="243"/>
      <c r="U123" s="243"/>
      <c r="V123" s="243"/>
      <c r="X123" s="243"/>
      <c r="Y123" s="243"/>
      <c r="Z123" s="243"/>
      <c r="AA123" s="243"/>
      <c r="AB123" s="243"/>
      <c r="AC123" s="243"/>
      <c r="AD123" s="243"/>
      <c r="AE123" s="243"/>
      <c r="AG123" s="243"/>
      <c r="BH123" s="243">
        <f t="shared" si="167"/>
        <v>-3411231.8400000003</v>
      </c>
    </row>
    <row r="124" spans="2:33" ht="12">
      <c r="B124" s="120"/>
      <c r="E124" s="241"/>
      <c r="F124" s="241"/>
      <c r="G124" s="241"/>
      <c r="H124" s="242">
        <f>SUM(H3:H123)</f>
        <v>247695666.91128606</v>
      </c>
      <c r="I124" s="243"/>
      <c r="J124" s="243"/>
      <c r="K124" s="243"/>
      <c r="L124" s="243"/>
      <c r="M124" s="243"/>
      <c r="N124" s="243"/>
      <c r="O124" s="243"/>
      <c r="P124" s="243"/>
      <c r="Q124" s="243"/>
      <c r="R124" s="243"/>
      <c r="S124" s="243"/>
      <c r="T124" s="243"/>
      <c r="U124" s="243"/>
      <c r="V124" s="243"/>
      <c r="W124" s="243">
        <f>SUM(W3:W123)</f>
        <v>39843440.71</v>
      </c>
      <c r="X124" s="243">
        <f>SUM(X3:X123)</f>
        <v>26204906.937</v>
      </c>
      <c r="Y124" s="243">
        <f>SUM(Y3:Y123)</f>
        <v>685245170.58</v>
      </c>
      <c r="Z124" s="243"/>
      <c r="AA124" s="243"/>
      <c r="AB124" s="243"/>
      <c r="AC124" s="243"/>
      <c r="AD124" s="243"/>
      <c r="AE124" s="243"/>
      <c r="AG124" s="243"/>
    </row>
    <row r="125" spans="2:33" ht="12">
      <c r="B125" s="120"/>
      <c r="E125" s="241"/>
      <c r="F125" s="241"/>
      <c r="G125" s="241"/>
      <c r="H125" s="242"/>
      <c r="I125" s="243"/>
      <c r="J125" s="243"/>
      <c r="K125" s="243"/>
      <c r="L125" s="243"/>
      <c r="M125" s="243"/>
      <c r="N125" s="243"/>
      <c r="O125" s="243"/>
      <c r="P125" s="243"/>
      <c r="Q125" s="243"/>
      <c r="R125" s="243"/>
      <c r="S125" s="243"/>
      <c r="T125" s="243"/>
      <c r="U125" s="243"/>
      <c r="V125" s="243"/>
      <c r="X125" s="243">
        <f>SUM(X3:X20)</f>
        <v>10026799.737</v>
      </c>
      <c r="Y125" s="243"/>
      <c r="Z125" s="243"/>
      <c r="AA125" s="243"/>
      <c r="AB125" s="243"/>
      <c r="AC125" s="243"/>
      <c r="AD125" s="243"/>
      <c r="AE125" s="243"/>
      <c r="AG125" s="243"/>
    </row>
    <row r="126" spans="2:33" ht="12">
      <c r="B126" s="120"/>
      <c r="E126" s="241"/>
      <c r="F126" s="241"/>
      <c r="G126" s="241"/>
      <c r="H126" s="242">
        <f>SUM(H3:H20)</f>
        <v>33756965.79</v>
      </c>
      <c r="I126" s="243"/>
      <c r="J126" s="243"/>
      <c r="K126" s="243"/>
      <c r="L126" s="243"/>
      <c r="M126" s="243"/>
      <c r="N126" s="243"/>
      <c r="O126" s="243"/>
      <c r="P126" s="243"/>
      <c r="Q126" s="243"/>
      <c r="R126" s="243"/>
      <c r="S126" s="243"/>
      <c r="T126" s="243"/>
      <c r="U126" s="243"/>
      <c r="V126" s="243"/>
      <c r="W126" s="243">
        <f>SUM(W3:W20)</f>
        <v>16711332.895</v>
      </c>
      <c r="X126" s="243"/>
      <c r="Y126" s="243"/>
      <c r="Z126" s="243"/>
      <c r="AA126" s="243"/>
      <c r="AB126" s="243"/>
      <c r="AC126" s="243"/>
      <c r="AD126" s="243"/>
      <c r="AE126" s="243"/>
      <c r="AG126" s="243"/>
    </row>
    <row r="127" spans="2:33" ht="12">
      <c r="B127" s="120"/>
      <c r="E127" s="241"/>
      <c r="F127" s="241"/>
      <c r="G127" s="241"/>
      <c r="H127" s="242"/>
      <c r="I127" s="243"/>
      <c r="J127" s="243"/>
      <c r="K127" s="243"/>
      <c r="L127" s="243"/>
      <c r="M127" s="243"/>
      <c r="N127" s="243"/>
      <c r="O127" s="243"/>
      <c r="P127" s="243"/>
      <c r="Q127" s="243"/>
      <c r="R127" s="243"/>
      <c r="S127" s="243"/>
      <c r="T127" s="243"/>
      <c r="U127" s="243"/>
      <c r="V127" s="243"/>
      <c r="X127" s="243"/>
      <c r="Y127" s="243"/>
      <c r="Z127" s="243"/>
      <c r="AA127" s="243"/>
      <c r="AB127" s="243"/>
      <c r="AC127" s="243"/>
      <c r="AD127" s="243"/>
      <c r="AE127" s="243"/>
      <c r="AG127" s="243"/>
    </row>
    <row r="128" spans="2:33" ht="12">
      <c r="B128" s="120"/>
      <c r="E128" s="241"/>
      <c r="F128" s="241"/>
      <c r="G128" s="241"/>
      <c r="H128" s="242"/>
      <c r="I128" s="243"/>
      <c r="J128" s="243"/>
      <c r="K128" s="243"/>
      <c r="L128" s="243"/>
      <c r="M128" s="243"/>
      <c r="N128" s="243"/>
      <c r="O128" s="243"/>
      <c r="P128" s="243"/>
      <c r="Q128" s="243"/>
      <c r="R128" s="243"/>
      <c r="S128" s="243"/>
      <c r="T128" s="243"/>
      <c r="U128" s="243"/>
      <c r="V128" s="243"/>
      <c r="X128" s="243"/>
      <c r="Y128" s="243"/>
      <c r="Z128" s="243"/>
      <c r="AA128" s="243"/>
      <c r="AB128" s="243"/>
      <c r="AC128" s="243"/>
      <c r="AD128" s="243"/>
      <c r="AE128" s="243"/>
      <c r="AG128" s="243"/>
    </row>
    <row r="129" spans="2:33" ht="12">
      <c r="B129" s="120"/>
      <c r="E129" s="241"/>
      <c r="F129" s="241"/>
      <c r="G129" s="241"/>
      <c r="H129" s="242"/>
      <c r="I129" s="243"/>
      <c r="J129" s="243"/>
      <c r="K129" s="243"/>
      <c r="L129" s="243"/>
      <c r="M129" s="243"/>
      <c r="N129" s="243"/>
      <c r="O129" s="243"/>
      <c r="P129" s="243"/>
      <c r="Q129" s="243"/>
      <c r="R129" s="243"/>
      <c r="S129" s="243"/>
      <c r="T129" s="243"/>
      <c r="U129" s="243"/>
      <c r="V129" s="243"/>
      <c r="X129" s="243"/>
      <c r="Y129" s="243"/>
      <c r="Z129" s="243"/>
      <c r="AA129" s="243"/>
      <c r="AB129" s="243"/>
      <c r="AC129" s="243"/>
      <c r="AD129" s="243"/>
      <c r="AE129" s="243"/>
      <c r="AG129" s="243"/>
    </row>
    <row r="130" spans="2:33" ht="12">
      <c r="B130" s="120"/>
      <c r="E130" s="241"/>
      <c r="F130" s="241"/>
      <c r="G130" s="241"/>
      <c r="H130" s="242"/>
      <c r="I130" s="243"/>
      <c r="J130" s="243"/>
      <c r="K130" s="243"/>
      <c r="L130" s="243"/>
      <c r="M130" s="243"/>
      <c r="N130" s="243"/>
      <c r="O130" s="243"/>
      <c r="P130" s="243"/>
      <c r="Q130" s="243"/>
      <c r="R130" s="243"/>
      <c r="S130" s="243"/>
      <c r="T130" s="243"/>
      <c r="U130" s="243"/>
      <c r="V130" s="243"/>
      <c r="X130" s="243"/>
      <c r="Y130" s="243"/>
      <c r="Z130" s="243"/>
      <c r="AA130" s="243"/>
      <c r="AB130" s="243"/>
      <c r="AC130" s="243"/>
      <c r="AD130" s="243"/>
      <c r="AE130" s="243"/>
      <c r="AG130" s="243"/>
    </row>
    <row r="131" spans="2:33" ht="12">
      <c r="B131" s="120"/>
      <c r="E131" s="241"/>
      <c r="F131" s="241"/>
      <c r="G131" s="241"/>
      <c r="H131" s="242"/>
      <c r="I131" s="243"/>
      <c r="J131" s="243"/>
      <c r="K131" s="243"/>
      <c r="L131" s="243"/>
      <c r="M131" s="243"/>
      <c r="N131" s="243"/>
      <c r="O131" s="243"/>
      <c r="P131" s="243"/>
      <c r="Q131" s="243"/>
      <c r="R131" s="243"/>
      <c r="S131" s="243"/>
      <c r="T131" s="243"/>
      <c r="U131" s="243"/>
      <c r="V131" s="243"/>
      <c r="X131" s="243"/>
      <c r="Y131" s="243"/>
      <c r="Z131" s="243"/>
      <c r="AA131" s="243"/>
      <c r="AB131" s="243"/>
      <c r="AC131" s="243"/>
      <c r="AD131" s="243"/>
      <c r="AE131" s="243"/>
      <c r="AG131" s="243"/>
    </row>
  </sheetData>
  <sheetProtection/>
  <mergeCells count="75">
    <mergeCell ref="ET1:FC1"/>
    <mergeCell ref="EJ1:ES1"/>
    <mergeCell ref="BA49:BB49"/>
    <mergeCell ref="BA74:BB74"/>
    <mergeCell ref="BA65:BB65"/>
    <mergeCell ref="BA66:BB66"/>
    <mergeCell ref="BA50:BB50"/>
    <mergeCell ref="BA48:BB48"/>
    <mergeCell ref="BA27:BB27"/>
    <mergeCell ref="BA40:BB40"/>
    <mergeCell ref="C22:F22"/>
    <mergeCell ref="D34:F34"/>
    <mergeCell ref="D52:F52"/>
    <mergeCell ref="BA26:BB26"/>
    <mergeCell ref="BA25:BB25"/>
    <mergeCell ref="C73:F73"/>
    <mergeCell ref="V103:X103"/>
    <mergeCell ref="V104:X104"/>
    <mergeCell ref="V102:X102"/>
    <mergeCell ref="C86:F86"/>
    <mergeCell ref="B82:C83"/>
    <mergeCell ref="B74:C75"/>
    <mergeCell ref="B76:C80"/>
    <mergeCell ref="B81:C81"/>
    <mergeCell ref="BA15:BB15"/>
    <mergeCell ref="BA81:BB81"/>
    <mergeCell ref="Y104:Z104"/>
    <mergeCell ref="Y102:Z102"/>
    <mergeCell ref="BA35:BB35"/>
    <mergeCell ref="BA44:BB44"/>
    <mergeCell ref="BA43:BB43"/>
    <mergeCell ref="BA39:BB39"/>
    <mergeCell ref="BA36:BB36"/>
    <mergeCell ref="BA41:BB41"/>
    <mergeCell ref="BA17:BB17"/>
    <mergeCell ref="BA83:BB83"/>
    <mergeCell ref="BA28:BB28"/>
    <mergeCell ref="BA20:BB20"/>
    <mergeCell ref="BA18:BB18"/>
    <mergeCell ref="BA37:BB37"/>
    <mergeCell ref="BA38:BB38"/>
    <mergeCell ref="BA42:BB42"/>
    <mergeCell ref="BA47:BB47"/>
    <mergeCell ref="BA79:BB79"/>
    <mergeCell ref="Y103:Z103"/>
    <mergeCell ref="BA76:BB76"/>
    <mergeCell ref="BA80:BB80"/>
    <mergeCell ref="BA45:BB45"/>
    <mergeCell ref="BA46:BB46"/>
    <mergeCell ref="BA3:BB3"/>
    <mergeCell ref="BA5:BB5"/>
    <mergeCell ref="Y101:Z101"/>
    <mergeCell ref="B84:C84"/>
    <mergeCell ref="N101:X101"/>
    <mergeCell ref="BA75:BB75"/>
    <mergeCell ref="AD82:AD83"/>
    <mergeCell ref="BA77:BB77"/>
    <mergeCell ref="BA84:BB84"/>
    <mergeCell ref="BA82:BB82"/>
    <mergeCell ref="DZ1:EI1"/>
    <mergeCell ref="DP1:DY1"/>
    <mergeCell ref="CB1:CK1"/>
    <mergeCell ref="CL1:CU1"/>
    <mergeCell ref="CV1:DE1"/>
    <mergeCell ref="DF1:DO1"/>
    <mergeCell ref="BA16:BB16"/>
    <mergeCell ref="BA4:BB4"/>
    <mergeCell ref="BA8:BB8"/>
    <mergeCell ref="BA9:BB9"/>
    <mergeCell ref="BA6:BB6"/>
    <mergeCell ref="BA11:BB11"/>
    <mergeCell ref="BA10:BB10"/>
    <mergeCell ref="BA12:BB12"/>
    <mergeCell ref="BA13:BB13"/>
    <mergeCell ref="BA14:BB14"/>
  </mergeCells>
  <hyperlinks>
    <hyperlink ref="BI4" r:id="rId1" display="SCHEDA NOICATTARO"/>
    <hyperlink ref="BI11" r:id="rId2" display="Martina Franca"/>
    <hyperlink ref="BI5" r:id="rId3" display="SCHEDA NOICATTARO"/>
    <hyperlink ref="BI3" r:id="rId4" display="../../Misura 6.2/Misura 6_2 Autonomie Locali/schede finali e progetti/1_Modugno/lettera richiesta integrazioni.doc"/>
    <hyperlink ref="BI6" r:id="rId5" display="SCHEDA NOICATTARO"/>
    <hyperlink ref="BI7" r:id="rId6" display="../../Misura 6.2/Misura 6_2 Autonomie Locali/schede finali e progetti/5_Si Gargano/lettera richiesta integrazioni.doc"/>
    <hyperlink ref="BI8" r:id="rId7" display="../../Misura 6.2/Misura 6_2 Autonomie Locali/schede finali e progetti/6_Lucera/lettera richiesta integrazioni.doc"/>
    <hyperlink ref="BI9" r:id="rId8" display="../../Misura 6.2/Misura 6_2 Autonomie Locali/schede finali e progetti/7_Carlantino/lettera richiesta integrazioni.doc"/>
    <hyperlink ref="AV18" r:id="rId9" display="a.esposito@comune.lecce.it"/>
    <hyperlink ref="BI18" r:id="rId10" display="../../Misura 6.2/Misura 6_2 Autonomie Locali/schede finali e progetti/16_Lecce/lettera richiesta integrazioni.doc"/>
    <hyperlink ref="AV15" r:id="rId11" display="acaggiula@comune.maglie.le.it"/>
    <hyperlink ref="AV9" r:id="rId12" display="laporta@carlantino.montidauni.fg.it"/>
    <hyperlink ref="AV13" r:id="rId13" display="m.lauriola@comune.foggia.it"/>
    <hyperlink ref="AV17" r:id="rId14" display="attivitàproduttive@comune.casarano.le.it"/>
    <hyperlink ref="AV10" r:id="rId15" display="b.mastrorilli@comune.bari.it"/>
    <hyperlink ref="AV3" r:id="rId16" display="commercio@comune.modugno.ba.it"/>
    <hyperlink ref="AV16" r:id="rId17" display="direttoregenerale@comune.gallipoli.le.it"/>
    <hyperlink ref="AV20" r:id="rId18" display="gcantanna@libero.it"/>
    <hyperlink ref="AV12" r:id="rId19" display="r.debenedetto@comune.taranto.it"/>
    <hyperlink ref="AV19" r:id="rId20" display="p.m.manduria@libero.it"/>
    <hyperlink ref="AV14" r:id="rId21" display="dirigente.organizzazione@comune.barletta.ba.it"/>
    <hyperlink ref="AV4" r:id="rId22" display="segretario.gen@comune.noicattaro.bari.it"/>
    <hyperlink ref="AV5" r:id="rId23" display="dirgioia@tin.it"/>
    <hyperlink ref="AV11" r:id="rId24" display="prusstmf@libero.it"/>
    <hyperlink ref="AV7" r:id="rId25" display="sgambati.cmg@virgilio.it"/>
    <hyperlink ref="AV23" r:id="rId26" display="a.decosmo@provincia.foggia.it"/>
    <hyperlink ref="AV8" r:id="rId27" display="lucera5@interfree.it"/>
    <hyperlink ref="AV35" r:id="rId28" display="pit@comune.foggia.it"/>
    <hyperlink ref="AV39" r:id="rId29" display="f.ficarella@comune.bari.it "/>
    <hyperlink ref="AV43" r:id="rId30" display="mailto:prusstmf@libero.it"/>
    <hyperlink ref="AV48" r:id="rId31" display="attivitaproduttive@comune.casarano.le.it"/>
    <hyperlink ref="AV44" r:id="rId32" display="pit6@provincia.ta.it"/>
    <hyperlink ref="AV41" r:id="rId33" display="pit4@comune.santeramo.ba.it"/>
    <hyperlink ref="AV37" r:id="rId34" display="m.caringella@pit2.it"/>
    <hyperlink ref="AV45" r:id="rId35" display="giovanni.antelmi@provincia.brindisi.it"/>
    <hyperlink ref="AV50" r:id="rId36" display="comunitamontana.bovino.fg@isnet,it"/>
    <hyperlink ref="AV6" r:id="rId37" display="urp@comune.brindisi.it"/>
    <hyperlink ref="AV38" r:id="rId38" display="m.caringella@pit2.it"/>
    <hyperlink ref="AV24" r:id="rId39" display="a.decosmo@provincia.foggia.it"/>
    <hyperlink ref="AV81" r:id="rId40" display="frigiola@comune.laterza.ta.it"/>
    <hyperlink ref="AV36" r:id="rId41" display="pit@comune.foggia.it"/>
    <hyperlink ref="AV46" r:id="rId42" display="ufficiounicopit8@libero.it"/>
    <hyperlink ref="AV40" r:id="rId43" display="f.ficarella@comune.bari.it "/>
    <hyperlink ref="AV49" r:id="rId44" display="attivitaproduttive@comune.casarano.le.it"/>
    <hyperlink ref="AV47" r:id="rId45" display="ufficiounicopit8@libero.it"/>
    <hyperlink ref="AV42" r:id="rId46" display="pit4@comune.santeramo.ba.it"/>
    <hyperlink ref="FS4" r:id="rId47" display="www.sudestbarese.it"/>
    <hyperlink ref="FS5" r:id="rId48" display="www.murgianet.net"/>
    <hyperlink ref="FS10" r:id="rId49" display="www.memoriaeconoscenza.it"/>
    <hyperlink ref="FS11" r:id="rId50" display="www.comune.alberobello.ba.it"/>
    <hyperlink ref="FS12" r:id="rId51" display="www.contest.taranto.it"/>
    <hyperlink ref="FS13" r:id="rId52" display="www.foggiafaro.it"/>
    <hyperlink ref="FS15" r:id="rId53" display="www.maglie.cchnet.it"/>
    <hyperlink ref="FS16" r:id="rId54" display="www.japigia.com"/>
    <hyperlink ref="FS17" r:id="rId55" display="www.salgo.areasistema.it"/>
    <hyperlink ref="FS18" r:id="rId56" display="www.tosalento.com"/>
    <hyperlink ref="FS20" r:id="rId57" display="www.ptipuglia.it"/>
    <hyperlink ref="FS35" r:id="rId58" display="www.pit-tavoliere.it"/>
    <hyperlink ref="FS37" r:id="rId59" display="www.pit2.it"/>
    <hyperlink ref="FV16" r:id="rId60" display="schede finali e progetti\14_Gallipoli\riferimenti commissione Gallipoli.xls"/>
    <hyperlink ref="FV18" r:id="rId61" display="schede finali e progetti\16_Lecce\riferimenti commissione Lecce.xls"/>
    <hyperlink ref="FX18" r:id="rId62" display="schede finali e progetti\16_Lecce\16_verbale_collaudo.doc"/>
    <hyperlink ref="FV20" r:id="rId63" display="schede finali e progetti\18_Fasano\riferimenti commissione Fasano.xls"/>
    <hyperlink ref="FX74" r:id="rId64" display="..\PIS\Pis_11\PIS 11 - Polo Lecce - S.Seve\verbale_collaudo_PIS11_Lecce.doc"/>
    <hyperlink ref="FV75" r:id="rId65" display="..\PIS\Pis_11\riferimenti commissione PIS11 Martina.xls"/>
    <hyperlink ref="FS9" r:id="rId66" display="http://www.dauniavalley.it/"/>
  </hyperlinks>
  <printOptions gridLines="1" horizontalCentered="1" verticalCentered="1"/>
  <pageMargins left="0.2362204724409449" right="0.2362204724409449" top="0.27" bottom="0.23" header="0.17" footer="0.16"/>
  <pageSetup horizontalDpi="300" verticalDpi="300" orientation="landscape" paperSize="9" scale="95" r:id="rId69"/>
  <colBreaks count="1" manualBreakCount="1">
    <brk id="159" max="65535" man="1"/>
  </colBreaks>
  <legacyDrawing r:id="rId68"/>
</worksheet>
</file>

<file path=xl/worksheets/sheet2.xml><?xml version="1.0" encoding="utf-8"?>
<worksheet xmlns="http://schemas.openxmlformats.org/spreadsheetml/2006/main" xmlns:r="http://schemas.openxmlformats.org/officeDocument/2006/relationships">
  <dimension ref="A1:GP41"/>
  <sheetViews>
    <sheetView zoomScale="75" zoomScaleNormal="75" zoomScalePageLayoutView="0" workbookViewId="0" topLeftCell="D1">
      <selection activeCell="D20" sqref="D20"/>
    </sheetView>
  </sheetViews>
  <sheetFormatPr defaultColWidth="11.57421875" defaultRowHeight="12.75"/>
  <cols>
    <col min="1" max="25" width="11.57421875" style="0" customWidth="1"/>
    <col min="26" max="26" width="11.57421875" style="61" customWidth="1"/>
  </cols>
  <sheetData>
    <row r="1" spans="1:198" ht="79.5">
      <c r="A1" s="16"/>
      <c r="B1" s="17" t="s">
        <v>1193</v>
      </c>
      <c r="C1" s="18" t="s">
        <v>1208</v>
      </c>
      <c r="D1" s="18" t="s">
        <v>1151</v>
      </c>
      <c r="E1" s="18" t="s">
        <v>1152</v>
      </c>
      <c r="F1" s="18" t="s">
        <v>1153</v>
      </c>
      <c r="G1" s="18" t="s">
        <v>1154</v>
      </c>
      <c r="H1" s="18" t="s">
        <v>1155</v>
      </c>
      <c r="I1" s="19" t="s">
        <v>1156</v>
      </c>
      <c r="J1" s="19" t="s">
        <v>1157</v>
      </c>
      <c r="K1" s="19" t="s">
        <v>1158</v>
      </c>
      <c r="L1" s="18" t="s">
        <v>1159</v>
      </c>
      <c r="M1" s="18" t="s">
        <v>1160</v>
      </c>
      <c r="N1" s="20" t="s">
        <v>1161</v>
      </c>
      <c r="O1" s="20" t="s">
        <v>1205</v>
      </c>
      <c r="P1" s="20" t="s">
        <v>1246</v>
      </c>
      <c r="Q1" s="20" t="s">
        <v>1248</v>
      </c>
      <c r="R1" s="20" t="s">
        <v>1249</v>
      </c>
      <c r="S1" s="20" t="s">
        <v>1247</v>
      </c>
      <c r="T1" s="20" t="s">
        <v>1250</v>
      </c>
      <c r="U1" s="20" t="s">
        <v>1253</v>
      </c>
      <c r="V1" s="54" t="s">
        <v>1254</v>
      </c>
      <c r="W1" s="50"/>
      <c r="X1" s="51" t="s">
        <v>1251</v>
      </c>
      <c r="Y1" s="51" t="s">
        <v>1252</v>
      </c>
      <c r="Z1" s="58" t="s">
        <v>1244</v>
      </c>
      <c r="AA1" s="23"/>
      <c r="AB1" s="23"/>
      <c r="AC1" s="23"/>
      <c r="AD1" s="23"/>
      <c r="AE1" s="19" t="s">
        <v>1162</v>
      </c>
      <c r="AF1" s="21"/>
      <c r="AG1" s="22"/>
      <c r="AH1" s="23"/>
      <c r="AI1" s="24" t="s">
        <v>1163</v>
      </c>
      <c r="AJ1" s="25" t="s">
        <v>1164</v>
      </c>
      <c r="AK1" s="26"/>
      <c r="AL1" s="26"/>
      <c r="AM1" s="27" t="s">
        <v>1165</v>
      </c>
      <c r="AN1" s="26"/>
      <c r="AO1" s="28"/>
      <c r="AP1" s="29"/>
      <c r="AQ1" s="30" t="s">
        <v>1166</v>
      </c>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row>
    <row r="2" spans="1:198" ht="12.75" customHeight="1">
      <c r="A2" s="8">
        <v>1</v>
      </c>
      <c r="B2" s="10" t="s">
        <v>1194</v>
      </c>
      <c r="C2" s="11" t="s">
        <v>1167</v>
      </c>
      <c r="D2" s="43" t="s">
        <v>1188</v>
      </c>
      <c r="E2" s="1">
        <v>10</v>
      </c>
      <c r="F2" s="1">
        <v>20</v>
      </c>
      <c r="G2" s="1">
        <v>10</v>
      </c>
      <c r="H2" s="1">
        <v>10</v>
      </c>
      <c r="I2" s="1">
        <v>8</v>
      </c>
      <c r="J2" s="1">
        <v>18</v>
      </c>
      <c r="K2" s="1">
        <v>10</v>
      </c>
      <c r="L2" s="1">
        <v>10</v>
      </c>
      <c r="M2" s="1">
        <f>E2+F2+G2+H2+I2+J2+K2+L2</f>
        <v>96</v>
      </c>
      <c r="N2" s="2">
        <v>200000</v>
      </c>
      <c r="O2" s="57">
        <v>160000</v>
      </c>
      <c r="P2" s="2"/>
      <c r="Q2" s="2"/>
      <c r="R2" s="2"/>
      <c r="S2" s="2"/>
      <c r="T2" s="2">
        <f aca="true" t="shared" si="0" ref="T2:T19">IF((N2-P2-S2)&gt;2500000,2500000*80/100,(N2-P2-S2)*80/100)</f>
        <v>160000</v>
      </c>
      <c r="U2" s="2">
        <f>(+N2-P2-Q2-R2-S2)*0.5</f>
        <v>100000</v>
      </c>
      <c r="V2" s="55">
        <f>+(N2-P2-Q2-R2-S2)*0.3</f>
        <v>60000</v>
      </c>
      <c r="W2" s="42"/>
      <c r="X2" s="52">
        <f>T2</f>
        <v>160000</v>
      </c>
      <c r="Y2" s="52">
        <f>24000000-T2</f>
        <v>23840000</v>
      </c>
      <c r="Z2" s="59" t="str">
        <f aca="true" t="shared" si="1" ref="Z2:Z32">IF(AE2&lt;&gt;"",AF2,"")</f>
        <v>ammesso e finanziato</v>
      </c>
      <c r="AA2" s="23"/>
      <c r="AB2" s="23"/>
      <c r="AC2" s="23"/>
      <c r="AD2" s="23"/>
      <c r="AE2" s="3" t="s">
        <v>1201</v>
      </c>
      <c r="AF2" s="31" t="str">
        <f aca="true" t="shared" si="2" ref="AF2:AF32">IF(AE2="positivo",AG2,"non ammesso")</f>
        <v>ammesso e finanziato</v>
      </c>
      <c r="AG2" s="30" t="str">
        <f aca="true" t="shared" si="3" ref="AG2:AG32">IF(AND(X2&lt;24000000,AE2="positivo"),"ammesso e finanziato","ammesso non finanziato")</f>
        <v>ammesso e finanziato</v>
      </c>
      <c r="AH2" s="23">
        <f aca="true" t="shared" si="4" ref="AH2:AH32">IF(AE2="positivo",0,1)</f>
        <v>0</v>
      </c>
      <c r="AI2" s="32"/>
      <c r="AJ2" s="32"/>
      <c r="AK2" s="29"/>
      <c r="AL2" s="29"/>
      <c r="AM2" s="30"/>
      <c r="AN2" s="29"/>
      <c r="AO2" s="29"/>
      <c r="AP2" s="29"/>
      <c r="AQ2" s="30"/>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row>
    <row r="3" spans="1:198" ht="12.75" customHeight="1">
      <c r="A3" s="4">
        <f>1+A2</f>
        <v>2</v>
      </c>
      <c r="B3" s="10" t="s">
        <v>1194</v>
      </c>
      <c r="C3" s="11" t="s">
        <v>1176</v>
      </c>
      <c r="D3" s="43" t="s">
        <v>1185</v>
      </c>
      <c r="E3" s="1">
        <v>10</v>
      </c>
      <c r="F3" s="1">
        <v>10</v>
      </c>
      <c r="G3" s="1">
        <v>10</v>
      </c>
      <c r="H3" s="1">
        <v>10</v>
      </c>
      <c r="I3" s="1">
        <v>8</v>
      </c>
      <c r="J3" s="1">
        <v>18</v>
      </c>
      <c r="K3" s="1">
        <v>10</v>
      </c>
      <c r="L3" s="1">
        <v>10</v>
      </c>
      <c r="M3" s="1">
        <f>E3+F3+G3+H3+I3+J3+K3+L3</f>
        <v>86</v>
      </c>
      <c r="N3" s="2">
        <v>2366781</v>
      </c>
      <c r="O3" s="57">
        <v>1837164</v>
      </c>
      <c r="P3" s="2"/>
      <c r="Q3" s="2"/>
      <c r="R3" s="2"/>
      <c r="S3" s="2"/>
      <c r="T3" s="2">
        <f t="shared" si="0"/>
        <v>1893424.8</v>
      </c>
      <c r="U3" s="2">
        <f aca="true" t="shared" si="5" ref="U3:U26">(+N3-P3-Q3-R3-S3)*0.5</f>
        <v>1183390.5</v>
      </c>
      <c r="V3" s="55">
        <f aca="true" t="shared" si="6" ref="V3:V26">+(N3-P3-Q3-R3-S3)*0.3</f>
        <v>710034.2999999999</v>
      </c>
      <c r="W3" s="42"/>
      <c r="X3" s="52">
        <f>SUM(T2:T3)</f>
        <v>2053424.8</v>
      </c>
      <c r="Y3" s="52">
        <f>+Y2-T3</f>
        <v>21946575.2</v>
      </c>
      <c r="Z3" s="59" t="str">
        <f t="shared" si="1"/>
        <v>ammesso e finanziato</v>
      </c>
      <c r="AA3" s="23"/>
      <c r="AB3" s="23"/>
      <c r="AC3" s="23"/>
      <c r="AD3" s="23"/>
      <c r="AE3" s="3" t="s">
        <v>1201</v>
      </c>
      <c r="AF3" s="1" t="str">
        <f t="shared" si="2"/>
        <v>ammesso e finanziato</v>
      </c>
      <c r="AG3" s="33" t="str">
        <f t="shared" si="3"/>
        <v>ammesso e finanziato</v>
      </c>
      <c r="AH3" s="23">
        <f t="shared" si="4"/>
        <v>0</v>
      </c>
      <c r="AI3" s="34" t="s">
        <v>1168</v>
      </c>
      <c r="AJ3" s="34" t="s">
        <v>1169</v>
      </c>
      <c r="AK3" s="35"/>
      <c r="AL3" s="35"/>
      <c r="AM3" s="640" t="s">
        <v>1170</v>
      </c>
      <c r="AN3" s="640" t="s">
        <v>1171</v>
      </c>
      <c r="AO3" s="640" t="s">
        <v>1172</v>
      </c>
      <c r="AP3" s="35"/>
      <c r="AQ3" s="608" t="s">
        <v>1174</v>
      </c>
      <c r="AR3" s="638" t="s">
        <v>1175</v>
      </c>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row>
    <row r="4" spans="1:198" ht="12.75" customHeight="1">
      <c r="A4" s="9">
        <f>1+A3</f>
        <v>3</v>
      </c>
      <c r="B4" s="10" t="s">
        <v>1209</v>
      </c>
      <c r="C4" s="12" t="s">
        <v>1214</v>
      </c>
      <c r="D4" s="44" t="s">
        <v>1215</v>
      </c>
      <c r="E4" s="1">
        <v>9</v>
      </c>
      <c r="F4" s="1">
        <v>15</v>
      </c>
      <c r="G4" s="1">
        <v>9</v>
      </c>
      <c r="H4" s="1">
        <v>8</v>
      </c>
      <c r="I4" s="1">
        <v>10</v>
      </c>
      <c r="J4" s="1">
        <v>16</v>
      </c>
      <c r="K4" s="1">
        <v>9</v>
      </c>
      <c r="L4" s="1">
        <v>6</v>
      </c>
      <c r="M4" s="1">
        <f aca="true" t="shared" si="7" ref="M4:M32">SUM(E4:L4)</f>
        <v>82</v>
      </c>
      <c r="N4" s="2">
        <v>1894080</v>
      </c>
      <c r="O4" s="57">
        <v>1491264</v>
      </c>
      <c r="P4" s="2">
        <v>30000</v>
      </c>
      <c r="Q4" s="2"/>
      <c r="R4" s="2"/>
      <c r="S4" s="2"/>
      <c r="T4" s="2">
        <f t="shared" si="0"/>
        <v>1491264</v>
      </c>
      <c r="U4" s="2">
        <f t="shared" si="5"/>
        <v>932040</v>
      </c>
      <c r="V4" s="55">
        <f t="shared" si="6"/>
        <v>559224</v>
      </c>
      <c r="W4" s="42"/>
      <c r="X4" s="52">
        <f>SUM(T2:T4)</f>
        <v>3544688.8</v>
      </c>
      <c r="Y4" s="52">
        <f aca="true" t="shared" si="8" ref="Y4:Y32">+Y3-T4</f>
        <v>20455311.2</v>
      </c>
      <c r="Z4" s="59" t="str">
        <f t="shared" si="1"/>
        <v>ammesso e finanziato</v>
      </c>
      <c r="AA4" s="23"/>
      <c r="AB4" s="23"/>
      <c r="AC4" s="23"/>
      <c r="AD4" s="23"/>
      <c r="AE4" s="1" t="s">
        <v>1201</v>
      </c>
      <c r="AF4" s="1" t="str">
        <f t="shared" si="2"/>
        <v>ammesso e finanziato</v>
      </c>
      <c r="AG4" s="33" t="str">
        <f t="shared" si="3"/>
        <v>ammesso e finanziato</v>
      </c>
      <c r="AH4" s="23">
        <f t="shared" si="4"/>
        <v>0</v>
      </c>
      <c r="AI4" s="36" t="s">
        <v>1177</v>
      </c>
      <c r="AJ4" s="37" t="s">
        <v>1168</v>
      </c>
      <c r="AK4" s="38"/>
      <c r="AL4" s="38"/>
      <c r="AM4" s="607"/>
      <c r="AN4" s="607"/>
      <c r="AO4" s="607"/>
      <c r="AP4" s="38"/>
      <c r="AQ4" s="608"/>
      <c r="AR4" s="638"/>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row>
    <row r="5" spans="1:198" ht="12.75" customHeight="1">
      <c r="A5" s="9">
        <f aca="true" t="shared" si="9" ref="A5:A32">1+A4</f>
        <v>4</v>
      </c>
      <c r="B5" s="10" t="s">
        <v>1195</v>
      </c>
      <c r="C5" s="12" t="s">
        <v>1199</v>
      </c>
      <c r="D5" s="44" t="s">
        <v>1200</v>
      </c>
      <c r="E5" s="1">
        <v>9</v>
      </c>
      <c r="F5" s="1">
        <v>15</v>
      </c>
      <c r="G5" s="1">
        <v>8</v>
      </c>
      <c r="H5" s="1">
        <v>8</v>
      </c>
      <c r="I5" s="1">
        <v>8</v>
      </c>
      <c r="J5" s="1">
        <v>15</v>
      </c>
      <c r="K5" s="1">
        <v>8</v>
      </c>
      <c r="L5" s="1">
        <v>10</v>
      </c>
      <c r="M5" s="1">
        <f>E5+F5+G5+H5+I5+J5+K5+L5</f>
        <v>81</v>
      </c>
      <c r="N5" s="2">
        <v>2471500</v>
      </c>
      <c r="O5" s="57">
        <v>1905200</v>
      </c>
      <c r="P5" s="2"/>
      <c r="Q5" s="2"/>
      <c r="R5" s="2"/>
      <c r="S5" s="2"/>
      <c r="T5" s="2">
        <f t="shared" si="0"/>
        <v>1977200</v>
      </c>
      <c r="U5" s="2">
        <f t="shared" si="5"/>
        <v>1235750</v>
      </c>
      <c r="V5" s="55">
        <f t="shared" si="6"/>
        <v>741450</v>
      </c>
      <c r="W5" s="42"/>
      <c r="X5" s="52">
        <f>SUM(T2:T5)</f>
        <v>5521888.8</v>
      </c>
      <c r="Y5" s="52">
        <f t="shared" si="8"/>
        <v>18478111.2</v>
      </c>
      <c r="Z5" s="59" t="str">
        <f t="shared" si="1"/>
        <v>ammesso e finanziato</v>
      </c>
      <c r="AA5" s="23"/>
      <c r="AB5" s="23"/>
      <c r="AC5" s="23"/>
      <c r="AD5" s="23"/>
      <c r="AE5" s="1" t="s">
        <v>1201</v>
      </c>
      <c r="AF5" s="1" t="str">
        <f t="shared" si="2"/>
        <v>ammesso e finanziato</v>
      </c>
      <c r="AG5" s="33" t="str">
        <f t="shared" si="3"/>
        <v>ammesso e finanziato</v>
      </c>
      <c r="AH5" s="23">
        <f t="shared" si="4"/>
        <v>0</v>
      </c>
      <c r="AI5" s="38"/>
      <c r="AJ5" s="38"/>
      <c r="AK5" s="38"/>
      <c r="AL5" s="38"/>
      <c r="AM5" s="607"/>
      <c r="AN5" s="607"/>
      <c r="AO5" s="607"/>
      <c r="AP5" s="38"/>
      <c r="AQ5" s="608"/>
      <c r="AR5" s="638"/>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row>
    <row r="6" spans="1:198" ht="12.75" customHeight="1">
      <c r="A6" s="9">
        <f t="shared" si="9"/>
        <v>5</v>
      </c>
      <c r="B6" s="10" t="s">
        <v>1195</v>
      </c>
      <c r="C6" s="12" t="s">
        <v>1202</v>
      </c>
      <c r="D6" s="44" t="s">
        <v>1203</v>
      </c>
      <c r="E6" s="1">
        <v>9</v>
      </c>
      <c r="F6" s="1">
        <v>15</v>
      </c>
      <c r="G6" s="1">
        <v>8</v>
      </c>
      <c r="H6" s="1">
        <v>8</v>
      </c>
      <c r="I6" s="1">
        <v>8</v>
      </c>
      <c r="J6" s="1">
        <v>15</v>
      </c>
      <c r="K6" s="1">
        <v>8</v>
      </c>
      <c r="L6" s="1">
        <v>10</v>
      </c>
      <c r="M6" s="1">
        <f>E6+F6+G6+H6+I6+J6+K6+L6</f>
        <v>81</v>
      </c>
      <c r="N6" s="2">
        <v>2303490</v>
      </c>
      <c r="O6" s="57">
        <v>1842792</v>
      </c>
      <c r="P6" s="2"/>
      <c r="Q6" s="2"/>
      <c r="R6" s="2"/>
      <c r="S6" s="2"/>
      <c r="T6" s="2">
        <f t="shared" si="0"/>
        <v>1842792</v>
      </c>
      <c r="U6" s="2">
        <f t="shared" si="5"/>
        <v>1151745</v>
      </c>
      <c r="V6" s="55">
        <f t="shared" si="6"/>
        <v>691047</v>
      </c>
      <c r="W6" s="42"/>
      <c r="X6" s="52">
        <f>SUM(T2:T6)</f>
        <v>7364680.8</v>
      </c>
      <c r="Y6" s="52">
        <f t="shared" si="8"/>
        <v>16635319.2</v>
      </c>
      <c r="Z6" s="59" t="str">
        <f t="shared" si="1"/>
        <v>ammesso e finanziato</v>
      </c>
      <c r="AA6" s="23"/>
      <c r="AB6" s="23"/>
      <c r="AC6" s="23"/>
      <c r="AD6" s="23"/>
      <c r="AE6" s="1" t="s">
        <v>1201</v>
      </c>
      <c r="AF6" s="1" t="str">
        <f t="shared" si="2"/>
        <v>ammesso e finanziato</v>
      </c>
      <c r="AG6" s="33" t="str">
        <f t="shared" si="3"/>
        <v>ammesso e finanziato</v>
      </c>
      <c r="AH6" s="23">
        <f t="shared" si="4"/>
        <v>0</v>
      </c>
      <c r="AI6" s="38"/>
      <c r="AJ6" s="38"/>
      <c r="AK6" s="38"/>
      <c r="AL6" s="38"/>
      <c r="AM6" s="607"/>
      <c r="AN6" s="607"/>
      <c r="AO6" s="607"/>
      <c r="AP6" s="38"/>
      <c r="AQ6" s="608"/>
      <c r="AR6" s="638"/>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row>
    <row r="7" spans="1:198" ht="12.75" customHeight="1">
      <c r="A7" s="9">
        <f t="shared" si="9"/>
        <v>6</v>
      </c>
      <c r="B7" s="10" t="s">
        <v>1195</v>
      </c>
      <c r="C7" s="12" t="s">
        <v>1191</v>
      </c>
      <c r="D7" s="44" t="s">
        <v>1192</v>
      </c>
      <c r="E7" s="1">
        <v>9</v>
      </c>
      <c r="F7" s="1">
        <v>15</v>
      </c>
      <c r="G7" s="1">
        <v>8</v>
      </c>
      <c r="H7" s="1">
        <v>8</v>
      </c>
      <c r="I7" s="1">
        <v>8</v>
      </c>
      <c r="J7" s="1">
        <v>15</v>
      </c>
      <c r="K7" s="1">
        <v>8</v>
      </c>
      <c r="L7" s="1">
        <v>10</v>
      </c>
      <c r="M7" s="1">
        <f>E7+F7+G7+H7+I7+J7+K7+L7</f>
        <v>81</v>
      </c>
      <c r="N7" s="2">
        <v>535500</v>
      </c>
      <c r="O7" s="57">
        <v>428400</v>
      </c>
      <c r="P7" s="2"/>
      <c r="Q7" s="2"/>
      <c r="R7" s="2"/>
      <c r="S7" s="2"/>
      <c r="T7" s="2">
        <f t="shared" si="0"/>
        <v>428400</v>
      </c>
      <c r="U7" s="2">
        <f t="shared" si="5"/>
        <v>267750</v>
      </c>
      <c r="V7" s="55">
        <f t="shared" si="6"/>
        <v>160650</v>
      </c>
      <c r="W7" s="42"/>
      <c r="X7" s="52">
        <f>SUM(T2:T7)</f>
        <v>7793080.8</v>
      </c>
      <c r="Y7" s="52">
        <f t="shared" si="8"/>
        <v>16206919.2</v>
      </c>
      <c r="Z7" s="59" t="str">
        <f t="shared" si="1"/>
        <v>ammesso e finanziato</v>
      </c>
      <c r="AA7" s="23"/>
      <c r="AB7" s="23"/>
      <c r="AC7" s="23"/>
      <c r="AD7" s="23"/>
      <c r="AE7" s="3" t="s">
        <v>1201</v>
      </c>
      <c r="AF7" s="1" t="str">
        <f t="shared" si="2"/>
        <v>ammesso e finanziato</v>
      </c>
      <c r="AG7" s="33" t="str">
        <f t="shared" si="3"/>
        <v>ammesso e finanziato</v>
      </c>
      <c r="AH7" s="23">
        <f t="shared" si="4"/>
        <v>0</v>
      </c>
      <c r="AI7" s="38"/>
      <c r="AJ7" s="38"/>
      <c r="AK7" s="38"/>
      <c r="AL7" s="38"/>
      <c r="AM7" s="39"/>
      <c r="AN7" s="39"/>
      <c r="AO7" s="607"/>
      <c r="AP7" s="38"/>
      <c r="AQ7" s="640"/>
      <c r="AR7" s="63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row>
    <row r="8" spans="1:198" ht="12.75" customHeight="1">
      <c r="A8" s="9">
        <f t="shared" si="9"/>
        <v>7</v>
      </c>
      <c r="B8" s="10" t="s">
        <v>1194</v>
      </c>
      <c r="C8" s="11" t="s">
        <v>1178</v>
      </c>
      <c r="D8" s="43" t="s">
        <v>1190</v>
      </c>
      <c r="E8" s="1">
        <v>8</v>
      </c>
      <c r="F8" s="1">
        <v>10</v>
      </c>
      <c r="G8" s="1">
        <v>10</v>
      </c>
      <c r="H8" s="1">
        <v>10</v>
      </c>
      <c r="I8" s="1">
        <v>7</v>
      </c>
      <c r="J8" s="1">
        <v>15</v>
      </c>
      <c r="K8" s="1">
        <v>10</v>
      </c>
      <c r="L8" s="1">
        <v>10</v>
      </c>
      <c r="M8" s="1">
        <f>E8+F8+G8+H8+I8+J8+K8+L8</f>
        <v>80</v>
      </c>
      <c r="N8" s="2">
        <v>2610300</v>
      </c>
      <c r="O8" s="2">
        <v>2088240</v>
      </c>
      <c r="P8" s="2"/>
      <c r="Q8" s="2"/>
      <c r="R8" s="2"/>
      <c r="S8" s="2"/>
      <c r="T8" s="2">
        <f t="shared" si="0"/>
        <v>2000000</v>
      </c>
      <c r="U8" s="2">
        <f t="shared" si="5"/>
        <v>1305150</v>
      </c>
      <c r="V8" s="55">
        <f t="shared" si="6"/>
        <v>783090</v>
      </c>
      <c r="W8" s="42"/>
      <c r="X8" s="52">
        <f>SUM(T2:T8)</f>
        <v>9793080.8</v>
      </c>
      <c r="Y8" s="52">
        <f t="shared" si="8"/>
        <v>14206919.2</v>
      </c>
      <c r="Z8" s="59" t="str">
        <f t="shared" si="1"/>
        <v>ammesso e finanziato</v>
      </c>
      <c r="AA8" s="23"/>
      <c r="AB8" s="23"/>
      <c r="AC8" s="23"/>
      <c r="AD8" s="23"/>
      <c r="AE8" s="3" t="s">
        <v>1201</v>
      </c>
      <c r="AF8" s="1" t="str">
        <f t="shared" si="2"/>
        <v>ammesso e finanziato</v>
      </c>
      <c r="AG8" s="33" t="str">
        <f t="shared" si="3"/>
        <v>ammesso e finanziato</v>
      </c>
      <c r="AH8" s="23">
        <f t="shared" si="4"/>
        <v>0</v>
      </c>
      <c r="AI8" s="36" t="s">
        <v>1177</v>
      </c>
      <c r="AJ8" s="37" t="s">
        <v>1168</v>
      </c>
      <c r="AK8" s="38"/>
      <c r="AL8" s="38"/>
      <c r="AM8" s="38"/>
      <c r="AN8" s="38"/>
      <c r="AO8" s="38"/>
      <c r="AP8" s="38"/>
      <c r="AQ8" s="38"/>
      <c r="AR8" s="40"/>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row>
    <row r="9" spans="1:198" ht="12.75" customHeight="1">
      <c r="A9" s="9">
        <f t="shared" si="9"/>
        <v>8</v>
      </c>
      <c r="B9" s="10" t="s">
        <v>1194</v>
      </c>
      <c r="C9" s="11" t="s">
        <v>1179</v>
      </c>
      <c r="D9" s="43" t="s">
        <v>1184</v>
      </c>
      <c r="E9" s="1">
        <v>3</v>
      </c>
      <c r="F9" s="1">
        <v>12</v>
      </c>
      <c r="G9" s="1">
        <v>10</v>
      </c>
      <c r="H9" s="1">
        <v>10</v>
      </c>
      <c r="I9" s="1">
        <v>10</v>
      </c>
      <c r="J9" s="1">
        <v>15</v>
      </c>
      <c r="K9" s="1">
        <v>10</v>
      </c>
      <c r="L9" s="1">
        <v>10</v>
      </c>
      <c r="M9" s="1">
        <f>E9+F9+G9+H9+I9+J9+K9+L9</f>
        <v>80</v>
      </c>
      <c r="N9" s="2">
        <v>3125000</v>
      </c>
      <c r="O9" s="2">
        <v>2500000</v>
      </c>
      <c r="P9" s="2"/>
      <c r="Q9" s="2"/>
      <c r="R9" s="2"/>
      <c r="S9" s="2"/>
      <c r="T9" s="2">
        <f t="shared" si="0"/>
        <v>2000000</v>
      </c>
      <c r="U9" s="2">
        <f t="shared" si="5"/>
        <v>1562500</v>
      </c>
      <c r="V9" s="55">
        <f t="shared" si="6"/>
        <v>937500</v>
      </c>
      <c r="W9" s="42"/>
      <c r="X9" s="52">
        <f>SUM(T2:T9)</f>
        <v>11793080.8</v>
      </c>
      <c r="Y9" s="52">
        <f t="shared" si="8"/>
        <v>12206919.2</v>
      </c>
      <c r="Z9" s="59" t="str">
        <f t="shared" si="1"/>
        <v>ammesso e finanziato</v>
      </c>
      <c r="AA9" s="23"/>
      <c r="AB9" s="23"/>
      <c r="AC9" s="23"/>
      <c r="AD9" s="23"/>
      <c r="AE9" s="1" t="s">
        <v>1201</v>
      </c>
      <c r="AF9" s="1" t="str">
        <f t="shared" si="2"/>
        <v>ammesso e finanziato</v>
      </c>
      <c r="AG9" s="33" t="str">
        <f t="shared" si="3"/>
        <v>ammesso e finanziato</v>
      </c>
      <c r="AH9" s="23">
        <f t="shared" si="4"/>
        <v>0</v>
      </c>
      <c r="AI9" s="38"/>
      <c r="AJ9" s="38"/>
      <c r="AK9" s="38"/>
      <c r="AL9" s="38"/>
      <c r="AM9" s="38"/>
      <c r="AN9" s="38"/>
      <c r="AO9" s="38"/>
      <c r="AP9" s="38"/>
      <c r="AQ9" s="38"/>
      <c r="AR9" s="40"/>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row>
    <row r="10" spans="1:198" ht="12.75" customHeight="1">
      <c r="A10" s="9">
        <f t="shared" si="9"/>
        <v>9</v>
      </c>
      <c r="B10" s="10" t="s">
        <v>1209</v>
      </c>
      <c r="C10" s="12" t="s">
        <v>1207</v>
      </c>
      <c r="D10" s="44" t="s">
        <v>1206</v>
      </c>
      <c r="E10" s="1">
        <v>8</v>
      </c>
      <c r="F10" s="1">
        <v>15</v>
      </c>
      <c r="G10" s="1">
        <v>9</v>
      </c>
      <c r="H10" s="1">
        <v>8</v>
      </c>
      <c r="I10" s="1">
        <v>10</v>
      </c>
      <c r="J10" s="1">
        <v>16</v>
      </c>
      <c r="K10" s="1">
        <v>7</v>
      </c>
      <c r="L10" s="1">
        <v>7</v>
      </c>
      <c r="M10" s="1">
        <f t="shared" si="7"/>
        <v>80</v>
      </c>
      <c r="N10" s="2">
        <v>1471562</v>
      </c>
      <c r="O10" s="2">
        <v>1143947</v>
      </c>
      <c r="P10" s="2"/>
      <c r="Q10" s="2"/>
      <c r="R10" s="2"/>
      <c r="S10" s="2"/>
      <c r="T10" s="2">
        <f t="shared" si="0"/>
        <v>1177249.6</v>
      </c>
      <c r="U10" s="2">
        <f t="shared" si="5"/>
        <v>735781</v>
      </c>
      <c r="V10" s="55">
        <f t="shared" si="6"/>
        <v>441468.6</v>
      </c>
      <c r="W10" s="42"/>
      <c r="X10" s="52">
        <f>SUM(T2:T10)</f>
        <v>12970330.4</v>
      </c>
      <c r="Y10" s="52">
        <f t="shared" si="8"/>
        <v>11029669.6</v>
      </c>
      <c r="Z10" s="59" t="str">
        <f t="shared" si="1"/>
        <v>ammesso e finanziato</v>
      </c>
      <c r="AA10" s="23"/>
      <c r="AB10" s="23"/>
      <c r="AC10" s="23"/>
      <c r="AD10" s="23"/>
      <c r="AE10" s="1" t="s">
        <v>1201</v>
      </c>
      <c r="AF10" s="1" t="str">
        <f t="shared" si="2"/>
        <v>ammesso e finanziato</v>
      </c>
      <c r="AG10" s="33" t="str">
        <f t="shared" si="3"/>
        <v>ammesso e finanziato</v>
      </c>
      <c r="AH10" s="23">
        <f t="shared" si="4"/>
        <v>0</v>
      </c>
      <c r="AI10" s="36" t="s">
        <v>1180</v>
      </c>
      <c r="AJ10" s="37" t="s">
        <v>1168</v>
      </c>
      <c r="AK10" s="38"/>
      <c r="AL10" s="38"/>
      <c r="AM10" s="38"/>
      <c r="AN10" s="38"/>
      <c r="AO10" s="38"/>
      <c r="AP10" s="38"/>
      <c r="AQ10" s="38"/>
      <c r="AR10" s="40"/>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row>
    <row r="11" spans="1:198" ht="12.75" customHeight="1">
      <c r="A11" s="9">
        <f t="shared" si="9"/>
        <v>10</v>
      </c>
      <c r="B11" s="10" t="s">
        <v>1212</v>
      </c>
      <c r="C11" s="12" t="s">
        <v>1243</v>
      </c>
      <c r="D11" s="44" t="s">
        <v>1230</v>
      </c>
      <c r="E11" s="1">
        <v>7</v>
      </c>
      <c r="F11" s="1">
        <v>14</v>
      </c>
      <c r="G11" s="1">
        <v>7</v>
      </c>
      <c r="H11" s="1">
        <v>7</v>
      </c>
      <c r="I11" s="1">
        <v>7</v>
      </c>
      <c r="J11" s="1">
        <v>10</v>
      </c>
      <c r="K11" s="1">
        <v>5</v>
      </c>
      <c r="L11" s="1">
        <v>5</v>
      </c>
      <c r="M11" s="1">
        <f t="shared" si="7"/>
        <v>62</v>
      </c>
      <c r="N11" s="2">
        <v>1930000</v>
      </c>
      <c r="O11" s="2">
        <v>1544000</v>
      </c>
      <c r="P11" s="2"/>
      <c r="Q11" s="2"/>
      <c r="R11" s="2"/>
      <c r="S11" s="2"/>
      <c r="T11" s="2">
        <f t="shared" si="0"/>
        <v>1544000</v>
      </c>
      <c r="U11" s="2">
        <f t="shared" si="5"/>
        <v>965000</v>
      </c>
      <c r="V11" s="55">
        <f t="shared" si="6"/>
        <v>579000</v>
      </c>
      <c r="W11" s="42"/>
      <c r="X11" s="52">
        <f>SUM(T2:T11)</f>
        <v>14514330.4</v>
      </c>
      <c r="Y11" s="52">
        <f t="shared" si="8"/>
        <v>9485669.6</v>
      </c>
      <c r="Z11" s="59" t="str">
        <f t="shared" si="1"/>
        <v>ammesso e finanziato</v>
      </c>
      <c r="AA11" s="23"/>
      <c r="AB11" s="23"/>
      <c r="AC11" s="23"/>
      <c r="AD11" s="23"/>
      <c r="AE11" s="1" t="s">
        <v>1201</v>
      </c>
      <c r="AF11" s="1" t="str">
        <f t="shared" si="2"/>
        <v>ammesso e finanziato</v>
      </c>
      <c r="AG11" s="33" t="str">
        <f t="shared" si="3"/>
        <v>ammesso e finanziato</v>
      </c>
      <c r="AH11" s="23">
        <f t="shared" si="4"/>
        <v>0</v>
      </c>
      <c r="AI11" s="37" t="s">
        <v>1169</v>
      </c>
      <c r="AJ11" s="37" t="s">
        <v>1169</v>
      </c>
      <c r="AK11" s="38"/>
      <c r="AL11" s="38"/>
      <c r="AM11" s="38"/>
      <c r="AN11" s="38"/>
      <c r="AO11" s="38"/>
      <c r="AP11" s="38"/>
      <c r="AQ11" s="38"/>
      <c r="AR11" s="40"/>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row>
    <row r="12" spans="1:198" ht="12.75" customHeight="1">
      <c r="A12" s="9">
        <f t="shared" si="9"/>
        <v>11</v>
      </c>
      <c r="B12" s="10" t="s">
        <v>1212</v>
      </c>
      <c r="C12" s="12" t="s">
        <v>1233</v>
      </c>
      <c r="D12" s="44" t="s">
        <v>1234</v>
      </c>
      <c r="E12" s="1">
        <v>6</v>
      </c>
      <c r="F12" s="1">
        <v>10</v>
      </c>
      <c r="G12" s="1">
        <v>5</v>
      </c>
      <c r="H12" s="1">
        <v>6</v>
      </c>
      <c r="I12" s="1">
        <v>5</v>
      </c>
      <c r="J12" s="1">
        <v>14</v>
      </c>
      <c r="K12" s="1">
        <v>5</v>
      </c>
      <c r="L12" s="1">
        <v>6</v>
      </c>
      <c r="M12" s="1">
        <f t="shared" si="7"/>
        <v>57</v>
      </c>
      <c r="N12" s="2">
        <v>1193000</v>
      </c>
      <c r="O12" s="2">
        <v>954400</v>
      </c>
      <c r="P12" s="2"/>
      <c r="Q12" s="2"/>
      <c r="R12" s="2"/>
      <c r="S12" s="2"/>
      <c r="T12" s="2">
        <f t="shared" si="0"/>
        <v>954400</v>
      </c>
      <c r="U12" s="2">
        <f t="shared" si="5"/>
        <v>596500</v>
      </c>
      <c r="V12" s="55">
        <f t="shared" si="6"/>
        <v>357900</v>
      </c>
      <c r="W12" s="42"/>
      <c r="X12" s="52">
        <f>SUM(T2:T12)</f>
        <v>15468730.4</v>
      </c>
      <c r="Y12" s="52">
        <f t="shared" si="8"/>
        <v>8531269.6</v>
      </c>
      <c r="Z12" s="59" t="str">
        <f t="shared" si="1"/>
        <v>ammesso e finanziato</v>
      </c>
      <c r="AA12" s="23"/>
      <c r="AB12" s="23"/>
      <c r="AC12" s="23"/>
      <c r="AD12" s="23"/>
      <c r="AE12" s="1" t="s">
        <v>1201</v>
      </c>
      <c r="AF12" s="1" t="str">
        <f t="shared" si="2"/>
        <v>ammesso e finanziato</v>
      </c>
      <c r="AG12" s="33" t="str">
        <f t="shared" si="3"/>
        <v>ammesso e finanziato</v>
      </c>
      <c r="AH12" s="23">
        <f t="shared" si="4"/>
        <v>0</v>
      </c>
      <c r="AI12" s="37" t="s">
        <v>1169</v>
      </c>
      <c r="AJ12" s="37" t="s">
        <v>1169</v>
      </c>
      <c r="AK12" s="38"/>
      <c r="AL12" s="38"/>
      <c r="AM12" s="38"/>
      <c r="AN12" s="38"/>
      <c r="AO12" s="38"/>
      <c r="AP12" s="38"/>
      <c r="AQ12" s="38"/>
      <c r="AR12" s="40"/>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row>
    <row r="13" spans="1:198" ht="12.75" customHeight="1">
      <c r="A13" s="9">
        <f t="shared" si="9"/>
        <v>12</v>
      </c>
      <c r="B13" s="10" t="s">
        <v>1212</v>
      </c>
      <c r="C13" s="12" t="s">
        <v>1231</v>
      </c>
      <c r="D13" s="44" t="s">
        <v>1232</v>
      </c>
      <c r="E13" s="1">
        <v>6</v>
      </c>
      <c r="F13" s="1">
        <v>11</v>
      </c>
      <c r="G13" s="1">
        <v>5</v>
      </c>
      <c r="H13" s="1">
        <v>5</v>
      </c>
      <c r="I13" s="1">
        <v>6</v>
      </c>
      <c r="J13" s="1">
        <v>11</v>
      </c>
      <c r="K13" s="1">
        <v>4</v>
      </c>
      <c r="L13" s="1">
        <v>6</v>
      </c>
      <c r="M13" s="1">
        <f t="shared" si="7"/>
        <v>54</v>
      </c>
      <c r="N13" s="2">
        <v>6140300</v>
      </c>
      <c r="O13" s="2">
        <v>2000000</v>
      </c>
      <c r="P13" s="2"/>
      <c r="Q13" s="2"/>
      <c r="R13" s="2"/>
      <c r="S13" s="2"/>
      <c r="T13" s="2">
        <f t="shared" si="0"/>
        <v>2000000</v>
      </c>
      <c r="U13" s="2">
        <f t="shared" si="5"/>
        <v>3070150</v>
      </c>
      <c r="V13" s="55">
        <f t="shared" si="6"/>
        <v>1842090</v>
      </c>
      <c r="W13" s="42"/>
      <c r="X13" s="52">
        <f>SUM(T2:T13)</f>
        <v>17468730.4</v>
      </c>
      <c r="Y13" s="52">
        <f t="shared" si="8"/>
        <v>6531269.6</v>
      </c>
      <c r="Z13" s="59" t="str">
        <f t="shared" si="1"/>
        <v>ammesso e finanziato</v>
      </c>
      <c r="AA13" s="23"/>
      <c r="AB13" s="23"/>
      <c r="AC13" s="23"/>
      <c r="AD13" s="23"/>
      <c r="AE13" s="1" t="s">
        <v>1201</v>
      </c>
      <c r="AF13" s="1" t="str">
        <f t="shared" si="2"/>
        <v>ammesso e finanziato</v>
      </c>
      <c r="AG13" s="33" t="str">
        <f t="shared" si="3"/>
        <v>ammesso e finanziato</v>
      </c>
      <c r="AH13" s="23">
        <f t="shared" si="4"/>
        <v>0</v>
      </c>
      <c r="AI13" s="37" t="s">
        <v>1169</v>
      </c>
      <c r="AJ13" s="37" t="s">
        <v>1169</v>
      </c>
      <c r="AK13" s="38"/>
      <c r="AL13" s="38"/>
      <c r="AM13" s="38"/>
      <c r="AN13" s="38"/>
      <c r="AO13" s="38"/>
      <c r="AP13" s="38"/>
      <c r="AQ13" s="38"/>
      <c r="AR13" s="40"/>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row>
    <row r="14" spans="1:198" ht="12.75" customHeight="1">
      <c r="A14" s="9">
        <f t="shared" si="9"/>
        <v>13</v>
      </c>
      <c r="B14" s="10" t="s">
        <v>1212</v>
      </c>
      <c r="C14" s="12" t="s">
        <v>1220</v>
      </c>
      <c r="D14" s="44" t="s">
        <v>1221</v>
      </c>
      <c r="E14" s="1">
        <v>5</v>
      </c>
      <c r="F14" s="1">
        <v>10</v>
      </c>
      <c r="G14" s="1">
        <v>4</v>
      </c>
      <c r="H14" s="1">
        <v>6</v>
      </c>
      <c r="I14" s="1">
        <v>5</v>
      </c>
      <c r="J14" s="1">
        <v>12</v>
      </c>
      <c r="K14" s="1">
        <v>4</v>
      </c>
      <c r="L14" s="1">
        <v>4</v>
      </c>
      <c r="M14" s="1">
        <f t="shared" si="7"/>
        <v>50</v>
      </c>
      <c r="N14" s="2">
        <v>2499200</v>
      </c>
      <c r="O14" s="2">
        <v>1999360</v>
      </c>
      <c r="P14" s="2"/>
      <c r="Q14" s="2"/>
      <c r="R14" s="2"/>
      <c r="S14" s="2"/>
      <c r="T14" s="2">
        <f t="shared" si="0"/>
        <v>1999360</v>
      </c>
      <c r="U14" s="2">
        <f t="shared" si="5"/>
        <v>1249600</v>
      </c>
      <c r="V14" s="55">
        <f t="shared" si="6"/>
        <v>749760</v>
      </c>
      <c r="W14" s="42"/>
      <c r="X14" s="52">
        <f>SUM(T2:T14)</f>
        <v>19468090.4</v>
      </c>
      <c r="Y14" s="52">
        <f t="shared" si="8"/>
        <v>4531909.6</v>
      </c>
      <c r="Z14" s="59" t="str">
        <f t="shared" si="1"/>
        <v>ammesso e finanziato</v>
      </c>
      <c r="AA14" s="23"/>
      <c r="AB14" s="23"/>
      <c r="AC14" s="23"/>
      <c r="AD14" s="23"/>
      <c r="AE14" s="1" t="s">
        <v>1201</v>
      </c>
      <c r="AF14" s="1" t="str">
        <f t="shared" si="2"/>
        <v>ammesso e finanziato</v>
      </c>
      <c r="AG14" s="33" t="str">
        <f t="shared" si="3"/>
        <v>ammesso e finanziato</v>
      </c>
      <c r="AH14" s="23">
        <f t="shared" si="4"/>
        <v>0</v>
      </c>
      <c r="AI14" s="38"/>
      <c r="AJ14" s="38"/>
      <c r="AK14" s="38"/>
      <c r="AL14" s="38"/>
      <c r="AM14" s="38"/>
      <c r="AN14" s="38"/>
      <c r="AO14" s="38"/>
      <c r="AP14" s="38"/>
      <c r="AQ14" s="38"/>
      <c r="AR14" s="40"/>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row>
    <row r="15" spans="1:198" ht="12.75" customHeight="1">
      <c r="A15" s="9">
        <f t="shared" si="9"/>
        <v>14</v>
      </c>
      <c r="B15" s="10" t="s">
        <v>1212</v>
      </c>
      <c r="C15" s="12" t="s">
        <v>1224</v>
      </c>
      <c r="D15" s="44" t="s">
        <v>1225</v>
      </c>
      <c r="E15" s="1">
        <v>5</v>
      </c>
      <c r="F15" s="1">
        <v>9</v>
      </c>
      <c r="G15" s="1">
        <v>5</v>
      </c>
      <c r="H15" s="1">
        <v>5</v>
      </c>
      <c r="I15" s="1">
        <v>5</v>
      </c>
      <c r="J15" s="1">
        <v>10</v>
      </c>
      <c r="K15" s="1">
        <v>5</v>
      </c>
      <c r="L15" s="1">
        <v>6</v>
      </c>
      <c r="M15" s="1">
        <f t="shared" si="7"/>
        <v>50</v>
      </c>
      <c r="N15" s="2">
        <v>1700000</v>
      </c>
      <c r="O15" s="2">
        <v>1639800</v>
      </c>
      <c r="P15" s="2"/>
      <c r="Q15" s="2"/>
      <c r="R15" s="2"/>
      <c r="S15" s="2"/>
      <c r="T15" s="2">
        <f t="shared" si="0"/>
        <v>1360000</v>
      </c>
      <c r="U15" s="2">
        <f t="shared" si="5"/>
        <v>850000</v>
      </c>
      <c r="V15" s="55">
        <f t="shared" si="6"/>
        <v>510000</v>
      </c>
      <c r="W15" s="42"/>
      <c r="X15" s="52">
        <f>SUM(T2:T15)</f>
        <v>20828090.4</v>
      </c>
      <c r="Y15" s="52">
        <f t="shared" si="8"/>
        <v>3171909.5999999996</v>
      </c>
      <c r="Z15" s="59" t="str">
        <f t="shared" si="1"/>
        <v>ammesso e finanziato</v>
      </c>
      <c r="AA15" s="23"/>
      <c r="AB15" s="23"/>
      <c r="AC15" s="23"/>
      <c r="AD15" s="23"/>
      <c r="AE15" s="1" t="s">
        <v>1201</v>
      </c>
      <c r="AF15" s="1" t="str">
        <f t="shared" si="2"/>
        <v>ammesso e finanziato</v>
      </c>
      <c r="AG15" s="33" t="str">
        <f t="shared" si="3"/>
        <v>ammesso e finanziato</v>
      </c>
      <c r="AH15" s="23">
        <f t="shared" si="4"/>
        <v>0</v>
      </c>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row>
    <row r="16" spans="1:198" ht="12.75" customHeight="1">
      <c r="A16" s="9">
        <f t="shared" si="9"/>
        <v>15</v>
      </c>
      <c r="B16" s="10" t="s">
        <v>1209</v>
      </c>
      <c r="C16" s="12" t="s">
        <v>1217</v>
      </c>
      <c r="D16" s="44" t="s">
        <v>1216</v>
      </c>
      <c r="E16" s="1">
        <v>6</v>
      </c>
      <c r="F16" s="1">
        <v>8</v>
      </c>
      <c r="G16" s="1">
        <v>7</v>
      </c>
      <c r="H16" s="1">
        <v>9</v>
      </c>
      <c r="I16" s="1">
        <v>6</v>
      </c>
      <c r="J16" s="1">
        <v>6</v>
      </c>
      <c r="K16" s="1">
        <v>6</v>
      </c>
      <c r="L16" s="1">
        <v>0</v>
      </c>
      <c r="M16" s="1">
        <f t="shared" si="7"/>
        <v>48</v>
      </c>
      <c r="N16" s="2">
        <v>1922650</v>
      </c>
      <c r="O16" s="2">
        <v>1538120</v>
      </c>
      <c r="P16" s="2"/>
      <c r="Q16" s="2"/>
      <c r="R16" s="2"/>
      <c r="S16" s="2"/>
      <c r="T16" s="2">
        <f t="shared" si="0"/>
        <v>1538120</v>
      </c>
      <c r="U16" s="2">
        <f t="shared" si="5"/>
        <v>961325</v>
      </c>
      <c r="V16" s="55">
        <f t="shared" si="6"/>
        <v>576795</v>
      </c>
      <c r="W16" s="42"/>
      <c r="X16" s="52">
        <f>SUM(T2:T16)</f>
        <v>22366210.4</v>
      </c>
      <c r="Y16" s="52">
        <f t="shared" si="8"/>
        <v>1633789.5999999996</v>
      </c>
      <c r="Z16" s="59" t="str">
        <f t="shared" si="1"/>
        <v>ammesso e finanziato</v>
      </c>
      <c r="AA16" s="23"/>
      <c r="AB16" s="23"/>
      <c r="AC16" s="23"/>
      <c r="AD16" s="23"/>
      <c r="AE16" s="1" t="s">
        <v>1201</v>
      </c>
      <c r="AF16" s="1" t="str">
        <f t="shared" si="2"/>
        <v>ammesso e finanziato</v>
      </c>
      <c r="AG16" s="33" t="str">
        <f t="shared" si="3"/>
        <v>ammesso e finanziato</v>
      </c>
      <c r="AH16" s="23">
        <f t="shared" si="4"/>
        <v>0</v>
      </c>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row>
    <row r="17" spans="1:198" ht="12.75" customHeight="1">
      <c r="A17" s="9">
        <f t="shared" si="9"/>
        <v>16</v>
      </c>
      <c r="B17" s="10" t="s">
        <v>1209</v>
      </c>
      <c r="C17" s="12" t="s">
        <v>1223</v>
      </c>
      <c r="D17" s="46" t="s">
        <v>1222</v>
      </c>
      <c r="E17" s="1">
        <v>6</v>
      </c>
      <c r="F17" s="1">
        <v>10</v>
      </c>
      <c r="G17" s="1">
        <v>6</v>
      </c>
      <c r="H17" s="1">
        <v>8</v>
      </c>
      <c r="I17" s="1">
        <v>10</v>
      </c>
      <c r="J17" s="1">
        <v>3</v>
      </c>
      <c r="K17" s="1">
        <v>4</v>
      </c>
      <c r="L17" s="1">
        <v>0</v>
      </c>
      <c r="M17" s="1">
        <v>47</v>
      </c>
      <c r="N17" s="2">
        <v>3000000</v>
      </c>
      <c r="O17" s="2">
        <v>2400000</v>
      </c>
      <c r="P17" s="2"/>
      <c r="Q17" s="2"/>
      <c r="R17" s="2"/>
      <c r="S17" s="2"/>
      <c r="T17" s="2">
        <f t="shared" si="0"/>
        <v>2000000</v>
      </c>
      <c r="U17" s="2">
        <f t="shared" si="5"/>
        <v>1500000</v>
      </c>
      <c r="V17" s="55">
        <f t="shared" si="6"/>
        <v>900000</v>
      </c>
      <c r="W17" s="42"/>
      <c r="X17" s="52">
        <f>SUM(T2:T17)</f>
        <v>24366210.4</v>
      </c>
      <c r="Y17" s="52">
        <f t="shared" si="8"/>
        <v>-366210.4000000004</v>
      </c>
      <c r="Z17" s="59" t="str">
        <f t="shared" si="1"/>
        <v>ammesso non finanziato</v>
      </c>
      <c r="AA17" s="23"/>
      <c r="AB17" s="23"/>
      <c r="AC17" s="23"/>
      <c r="AD17" s="23"/>
      <c r="AE17" s="1" t="s">
        <v>1201</v>
      </c>
      <c r="AF17" s="1" t="str">
        <f t="shared" si="2"/>
        <v>ammesso non finanziato</v>
      </c>
      <c r="AG17" s="33" t="str">
        <f t="shared" si="3"/>
        <v>ammesso non finanziato</v>
      </c>
      <c r="AH17" s="23">
        <f t="shared" si="4"/>
        <v>0</v>
      </c>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row>
    <row r="18" spans="1:198" ht="12.75" customHeight="1">
      <c r="A18" s="9">
        <f t="shared" si="9"/>
        <v>17</v>
      </c>
      <c r="B18" s="10" t="s">
        <v>1209</v>
      </c>
      <c r="C18" s="12" t="s">
        <v>1226</v>
      </c>
      <c r="D18" s="46" t="s">
        <v>1227</v>
      </c>
      <c r="E18" s="1">
        <v>6</v>
      </c>
      <c r="F18" s="1">
        <v>10</v>
      </c>
      <c r="G18" s="1">
        <v>6</v>
      </c>
      <c r="H18" s="1">
        <v>3</v>
      </c>
      <c r="I18" s="1">
        <v>6</v>
      </c>
      <c r="J18" s="1">
        <v>5</v>
      </c>
      <c r="K18" s="1">
        <v>5</v>
      </c>
      <c r="L18" s="1">
        <v>5</v>
      </c>
      <c r="M18" s="1">
        <f t="shared" si="7"/>
        <v>46</v>
      </c>
      <c r="N18" s="2">
        <v>646165</v>
      </c>
      <c r="O18" s="2">
        <v>516880</v>
      </c>
      <c r="P18" s="2"/>
      <c r="Q18" s="2"/>
      <c r="R18" s="2"/>
      <c r="S18" s="2"/>
      <c r="T18" s="2">
        <f t="shared" si="0"/>
        <v>516932</v>
      </c>
      <c r="U18" s="2">
        <f t="shared" si="5"/>
        <v>323082.5</v>
      </c>
      <c r="V18" s="55">
        <f t="shared" si="6"/>
        <v>193849.5</v>
      </c>
      <c r="W18" s="42"/>
      <c r="X18" s="52">
        <f>SUM(T2:T18)</f>
        <v>24883142.4</v>
      </c>
      <c r="Y18" s="52">
        <f t="shared" si="8"/>
        <v>-883142.4000000004</v>
      </c>
      <c r="Z18" s="59" t="str">
        <f t="shared" si="1"/>
        <v>ammesso non finanziato</v>
      </c>
      <c r="AA18" s="23"/>
      <c r="AB18" s="23"/>
      <c r="AC18" s="23"/>
      <c r="AD18" s="23"/>
      <c r="AE18" s="1" t="s">
        <v>1201</v>
      </c>
      <c r="AF18" s="1" t="str">
        <f t="shared" si="2"/>
        <v>ammesso non finanziato</v>
      </c>
      <c r="AG18" s="33" t="str">
        <f t="shared" si="3"/>
        <v>ammesso non finanziato</v>
      </c>
      <c r="AH18" s="23">
        <f t="shared" si="4"/>
        <v>0</v>
      </c>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row>
    <row r="19" spans="1:198" ht="12.75" customHeight="1">
      <c r="A19" s="9">
        <f t="shared" si="9"/>
        <v>18</v>
      </c>
      <c r="B19" s="10" t="s">
        <v>1212</v>
      </c>
      <c r="C19" s="12" t="s">
        <v>1213</v>
      </c>
      <c r="D19" s="46" t="s">
        <v>1211</v>
      </c>
      <c r="E19" s="1">
        <v>5</v>
      </c>
      <c r="F19" s="1">
        <v>10</v>
      </c>
      <c r="G19" s="1">
        <v>5</v>
      </c>
      <c r="H19" s="1">
        <v>5</v>
      </c>
      <c r="I19" s="1">
        <v>4</v>
      </c>
      <c r="J19" s="1">
        <v>10</v>
      </c>
      <c r="K19" s="1">
        <v>5</v>
      </c>
      <c r="L19" s="1">
        <v>0</v>
      </c>
      <c r="M19" s="1">
        <f t="shared" si="7"/>
        <v>44</v>
      </c>
      <c r="N19" s="2">
        <v>686770</v>
      </c>
      <c r="O19" s="2">
        <v>509350</v>
      </c>
      <c r="P19" s="2"/>
      <c r="Q19" s="2"/>
      <c r="R19" s="2"/>
      <c r="S19" s="2"/>
      <c r="T19" s="2">
        <f t="shared" si="0"/>
        <v>549416</v>
      </c>
      <c r="U19" s="2">
        <f t="shared" si="5"/>
        <v>343385</v>
      </c>
      <c r="V19" s="55">
        <f t="shared" si="6"/>
        <v>206031</v>
      </c>
      <c r="W19" s="42"/>
      <c r="X19" s="52">
        <f>SUM(T2:T19)</f>
        <v>25432558.4</v>
      </c>
      <c r="Y19" s="52">
        <f t="shared" si="8"/>
        <v>-1432558.4000000004</v>
      </c>
      <c r="Z19" s="59" t="str">
        <f t="shared" si="1"/>
        <v>ammesso non finanziato</v>
      </c>
      <c r="AA19" s="23"/>
      <c r="AB19" s="23"/>
      <c r="AC19" s="23"/>
      <c r="AD19" s="23"/>
      <c r="AE19" s="1" t="s">
        <v>1201</v>
      </c>
      <c r="AF19" s="1" t="str">
        <f t="shared" si="2"/>
        <v>ammesso non finanziato</v>
      </c>
      <c r="AG19" s="33" t="str">
        <f t="shared" si="3"/>
        <v>ammesso non finanziato</v>
      </c>
      <c r="AH19" s="23">
        <f t="shared" si="4"/>
        <v>0</v>
      </c>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row>
    <row r="20" spans="1:198" ht="12.75" customHeight="1">
      <c r="A20" s="9">
        <f t="shared" si="9"/>
        <v>19</v>
      </c>
      <c r="B20" s="10" t="s">
        <v>1195</v>
      </c>
      <c r="C20" s="12" t="s">
        <v>1204</v>
      </c>
      <c r="D20" s="45" t="s">
        <v>1197</v>
      </c>
      <c r="E20" s="1">
        <v>8</v>
      </c>
      <c r="F20" s="1">
        <v>14</v>
      </c>
      <c r="G20" s="1">
        <v>7</v>
      </c>
      <c r="H20" s="1">
        <v>7</v>
      </c>
      <c r="I20" s="1">
        <v>8</v>
      </c>
      <c r="J20" s="1">
        <v>15</v>
      </c>
      <c r="K20" s="1">
        <v>8</v>
      </c>
      <c r="L20" s="1">
        <v>10</v>
      </c>
      <c r="M20" s="1">
        <f>E20+F20+G20+H20+I20+J20+K20+L20</f>
        <v>77</v>
      </c>
      <c r="N20" s="2">
        <v>573500</v>
      </c>
      <c r="O20" s="2">
        <v>458000</v>
      </c>
      <c r="P20" s="2"/>
      <c r="Q20" s="2"/>
      <c r="R20" s="2"/>
      <c r="S20" s="2"/>
      <c r="T20" s="2">
        <v>0</v>
      </c>
      <c r="U20" s="2">
        <f t="shared" si="5"/>
        <v>286750</v>
      </c>
      <c r="V20" s="55">
        <f t="shared" si="6"/>
        <v>172050</v>
      </c>
      <c r="W20" s="42"/>
      <c r="X20" s="52">
        <f>SUM(T2:T20)</f>
        <v>25432558.4</v>
      </c>
      <c r="Y20" s="52">
        <f t="shared" si="8"/>
        <v>-1432558.4000000004</v>
      </c>
      <c r="Z20" s="59" t="str">
        <f t="shared" si="1"/>
        <v>non ammesso</v>
      </c>
      <c r="AA20" s="23"/>
      <c r="AB20" s="23"/>
      <c r="AC20" s="23"/>
      <c r="AD20" s="23"/>
      <c r="AE20" s="1" t="s">
        <v>1198</v>
      </c>
      <c r="AF20" s="1" t="str">
        <f t="shared" si="2"/>
        <v>non ammesso</v>
      </c>
      <c r="AG20" s="33" t="str">
        <f t="shared" si="3"/>
        <v>ammesso non finanziato</v>
      </c>
      <c r="AH20" s="23">
        <f t="shared" si="4"/>
        <v>1</v>
      </c>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row>
    <row r="21" spans="1:198" ht="12.75" customHeight="1">
      <c r="A21" s="9">
        <f t="shared" si="9"/>
        <v>20</v>
      </c>
      <c r="B21" s="10" t="s">
        <v>1194</v>
      </c>
      <c r="C21" s="13" t="s">
        <v>1181</v>
      </c>
      <c r="D21" s="47" t="s">
        <v>1187</v>
      </c>
      <c r="E21" s="1">
        <v>2</v>
      </c>
      <c r="F21" s="1">
        <v>2</v>
      </c>
      <c r="G21" s="1">
        <v>5</v>
      </c>
      <c r="H21" s="1">
        <v>8</v>
      </c>
      <c r="I21" s="1">
        <v>5</v>
      </c>
      <c r="J21" s="1">
        <v>3</v>
      </c>
      <c r="K21" s="1">
        <v>3</v>
      </c>
      <c r="L21" s="1">
        <v>10</v>
      </c>
      <c r="M21" s="1">
        <f>E21+F21+G21+H21+I21+J21+K21+L21</f>
        <v>38</v>
      </c>
      <c r="N21" s="2">
        <v>500000</v>
      </c>
      <c r="O21" s="2">
        <v>400000</v>
      </c>
      <c r="P21" s="2"/>
      <c r="Q21" s="2"/>
      <c r="R21" s="2"/>
      <c r="S21" s="2"/>
      <c r="T21" s="2">
        <v>0</v>
      </c>
      <c r="U21" s="2">
        <f t="shared" si="5"/>
        <v>250000</v>
      </c>
      <c r="V21" s="55">
        <f t="shared" si="6"/>
        <v>150000</v>
      </c>
      <c r="W21" s="42"/>
      <c r="X21" s="52">
        <f>SUM(T2:T21)</f>
        <v>25432558.4</v>
      </c>
      <c r="Y21" s="52">
        <f t="shared" si="8"/>
        <v>-1432558.4000000004</v>
      </c>
      <c r="Z21" s="59" t="str">
        <f t="shared" si="1"/>
        <v>non ammesso</v>
      </c>
      <c r="AA21" s="23"/>
      <c r="AB21" s="23"/>
      <c r="AC21" s="23"/>
      <c r="AD21" s="23"/>
      <c r="AE21" s="1" t="s">
        <v>1198</v>
      </c>
      <c r="AF21" s="1" t="str">
        <f t="shared" si="2"/>
        <v>non ammesso</v>
      </c>
      <c r="AG21" s="33" t="str">
        <f t="shared" si="3"/>
        <v>ammesso non finanziato</v>
      </c>
      <c r="AH21" s="23">
        <f t="shared" si="4"/>
        <v>1</v>
      </c>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row>
    <row r="22" spans="1:198" ht="12.75" customHeight="1">
      <c r="A22" s="9">
        <f t="shared" si="9"/>
        <v>21</v>
      </c>
      <c r="B22" s="10" t="s">
        <v>1194</v>
      </c>
      <c r="C22" s="11" t="s">
        <v>1183</v>
      </c>
      <c r="D22" s="47" t="s">
        <v>1186</v>
      </c>
      <c r="E22" s="1">
        <v>2</v>
      </c>
      <c r="F22" s="1">
        <v>2</v>
      </c>
      <c r="G22" s="1">
        <v>5</v>
      </c>
      <c r="H22" s="1">
        <v>5</v>
      </c>
      <c r="I22" s="1">
        <v>5</v>
      </c>
      <c r="J22" s="1">
        <v>3</v>
      </c>
      <c r="K22" s="1">
        <v>3</v>
      </c>
      <c r="L22" s="1">
        <v>5</v>
      </c>
      <c r="M22" s="1">
        <f>E22+F22+G22+H22+I22+J22+K22+L22</f>
        <v>30</v>
      </c>
      <c r="N22" s="2">
        <v>450000</v>
      </c>
      <c r="O22" s="2">
        <v>360000</v>
      </c>
      <c r="P22" s="2"/>
      <c r="Q22" s="2"/>
      <c r="R22" s="2"/>
      <c r="S22" s="2"/>
      <c r="T22" s="2">
        <v>0</v>
      </c>
      <c r="U22" s="2">
        <f t="shared" si="5"/>
        <v>225000</v>
      </c>
      <c r="V22" s="55">
        <f t="shared" si="6"/>
        <v>135000</v>
      </c>
      <c r="W22" s="42"/>
      <c r="X22" s="52">
        <f>SUM(T2:T22)</f>
        <v>25432558.4</v>
      </c>
      <c r="Y22" s="52">
        <f t="shared" si="8"/>
        <v>-1432558.4000000004</v>
      </c>
      <c r="Z22" s="59" t="str">
        <f t="shared" si="1"/>
        <v>non ammesso</v>
      </c>
      <c r="AA22" s="23"/>
      <c r="AB22" s="23"/>
      <c r="AC22" s="23"/>
      <c r="AD22" s="23"/>
      <c r="AE22" s="1" t="s">
        <v>1198</v>
      </c>
      <c r="AF22" s="1" t="str">
        <f t="shared" si="2"/>
        <v>non ammesso</v>
      </c>
      <c r="AG22" s="33" t="str">
        <f t="shared" si="3"/>
        <v>ammesso non finanziato</v>
      </c>
      <c r="AH22" s="23">
        <f t="shared" si="4"/>
        <v>1</v>
      </c>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row>
    <row r="23" spans="1:198" ht="12.75" customHeight="1">
      <c r="A23" s="9">
        <f t="shared" si="9"/>
        <v>22</v>
      </c>
      <c r="B23" s="10" t="s">
        <v>1194</v>
      </c>
      <c r="C23" s="11" t="s">
        <v>1241</v>
      </c>
      <c r="D23" s="47" t="s">
        <v>1189</v>
      </c>
      <c r="E23" s="1">
        <v>0</v>
      </c>
      <c r="F23" s="1">
        <v>2</v>
      </c>
      <c r="G23" s="1">
        <v>5</v>
      </c>
      <c r="H23" s="1">
        <v>2</v>
      </c>
      <c r="I23" s="1">
        <v>5</v>
      </c>
      <c r="J23" s="1">
        <v>3</v>
      </c>
      <c r="K23" s="1">
        <v>2</v>
      </c>
      <c r="L23" s="1">
        <v>10</v>
      </c>
      <c r="M23" s="1">
        <f>E23+F23+G23+H23+I23+J23+K23+L23</f>
        <v>29</v>
      </c>
      <c r="N23" s="2">
        <v>100000</v>
      </c>
      <c r="O23" s="2">
        <v>800000</v>
      </c>
      <c r="P23" s="2"/>
      <c r="Q23" s="2"/>
      <c r="R23" s="2"/>
      <c r="S23" s="2"/>
      <c r="T23" s="2">
        <v>0</v>
      </c>
      <c r="U23" s="2">
        <f t="shared" si="5"/>
        <v>50000</v>
      </c>
      <c r="V23" s="55">
        <f t="shared" si="6"/>
        <v>30000</v>
      </c>
      <c r="W23" s="42"/>
      <c r="X23" s="52">
        <f>SUM(T2:T23)</f>
        <v>25432558.4</v>
      </c>
      <c r="Y23" s="52">
        <f t="shared" si="8"/>
        <v>-1432558.4000000004</v>
      </c>
      <c r="Z23" s="59" t="str">
        <f t="shared" si="1"/>
        <v>non ammesso</v>
      </c>
      <c r="AA23" s="23"/>
      <c r="AB23" s="23"/>
      <c r="AC23" s="23"/>
      <c r="AD23" s="23"/>
      <c r="AE23" s="1" t="s">
        <v>1198</v>
      </c>
      <c r="AF23" s="1" t="str">
        <f t="shared" si="2"/>
        <v>non ammesso</v>
      </c>
      <c r="AG23" s="33" t="str">
        <f t="shared" si="3"/>
        <v>ammesso non finanziato</v>
      </c>
      <c r="AH23" s="23">
        <f t="shared" si="4"/>
        <v>1</v>
      </c>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row>
    <row r="24" spans="1:198" ht="12.75" customHeight="1">
      <c r="A24" s="9">
        <f t="shared" si="9"/>
        <v>23</v>
      </c>
      <c r="B24" s="10" t="s">
        <v>1209</v>
      </c>
      <c r="C24" s="12" t="s">
        <v>1242</v>
      </c>
      <c r="D24" s="45" t="s">
        <v>1210</v>
      </c>
      <c r="E24" s="1">
        <v>4</v>
      </c>
      <c r="F24" s="1">
        <v>10</v>
      </c>
      <c r="G24" s="1">
        <v>4</v>
      </c>
      <c r="H24" s="1">
        <v>1</v>
      </c>
      <c r="I24" s="1">
        <v>3</v>
      </c>
      <c r="J24" s="1">
        <v>4</v>
      </c>
      <c r="K24" s="1">
        <v>1</v>
      </c>
      <c r="L24" s="1">
        <v>0</v>
      </c>
      <c r="M24" s="1">
        <f t="shared" si="7"/>
        <v>27</v>
      </c>
      <c r="N24" s="2">
        <v>1877652</v>
      </c>
      <c r="O24" s="2">
        <v>1502121</v>
      </c>
      <c r="P24" s="2"/>
      <c r="Q24" s="2"/>
      <c r="R24" s="2"/>
      <c r="S24" s="2"/>
      <c r="T24" s="2">
        <v>0</v>
      </c>
      <c r="U24" s="2">
        <f t="shared" si="5"/>
        <v>938826</v>
      </c>
      <c r="V24" s="55">
        <f t="shared" si="6"/>
        <v>563295.6</v>
      </c>
      <c r="W24" s="42"/>
      <c r="X24" s="52">
        <f>SUM(T2:T24)</f>
        <v>25432558.4</v>
      </c>
      <c r="Y24" s="52">
        <f t="shared" si="8"/>
        <v>-1432558.4000000004</v>
      </c>
      <c r="Z24" s="59" t="str">
        <f t="shared" si="1"/>
        <v>non ammesso</v>
      </c>
      <c r="AA24" s="23"/>
      <c r="AB24" s="23"/>
      <c r="AC24" s="23"/>
      <c r="AD24" s="23"/>
      <c r="AE24" s="1" t="s">
        <v>1198</v>
      </c>
      <c r="AF24" s="1" t="str">
        <f t="shared" si="2"/>
        <v>non ammesso</v>
      </c>
      <c r="AG24" s="33" t="str">
        <f t="shared" si="3"/>
        <v>ammesso non finanziato</v>
      </c>
      <c r="AH24" s="23">
        <f t="shared" si="4"/>
        <v>1</v>
      </c>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row>
    <row r="25" spans="1:198" ht="12.75" customHeight="1">
      <c r="A25" s="9">
        <f t="shared" si="9"/>
        <v>24</v>
      </c>
      <c r="B25" s="10" t="s">
        <v>1195</v>
      </c>
      <c r="C25" s="12" t="s">
        <v>1196</v>
      </c>
      <c r="D25" s="45" t="s">
        <v>1197</v>
      </c>
      <c r="E25" s="1">
        <v>2</v>
      </c>
      <c r="F25" s="1">
        <v>0</v>
      </c>
      <c r="G25" s="1">
        <v>2</v>
      </c>
      <c r="H25" s="1">
        <v>0</v>
      </c>
      <c r="I25" s="1">
        <v>5</v>
      </c>
      <c r="J25" s="1">
        <v>2</v>
      </c>
      <c r="K25" s="1">
        <v>0</v>
      </c>
      <c r="L25" s="1">
        <v>0</v>
      </c>
      <c r="M25" s="1">
        <f>E25+F25+G25+H25+I25+J25+K25+L25</f>
        <v>11</v>
      </c>
      <c r="N25" s="2">
        <v>1500000</v>
      </c>
      <c r="O25" s="2">
        <v>1080000</v>
      </c>
      <c r="P25" s="2"/>
      <c r="Q25" s="2"/>
      <c r="R25" s="2"/>
      <c r="S25" s="2"/>
      <c r="T25" s="2">
        <v>0</v>
      </c>
      <c r="U25" s="2">
        <f t="shared" si="5"/>
        <v>750000</v>
      </c>
      <c r="V25" s="55">
        <f t="shared" si="6"/>
        <v>450000</v>
      </c>
      <c r="W25" s="42"/>
      <c r="X25" s="52">
        <f>SUM(T2:T25)</f>
        <v>25432558.4</v>
      </c>
      <c r="Y25" s="52">
        <f t="shared" si="8"/>
        <v>-1432558.4000000004</v>
      </c>
      <c r="Z25" s="59" t="str">
        <f t="shared" si="1"/>
        <v>non ammesso</v>
      </c>
      <c r="AA25" s="23"/>
      <c r="AB25" s="23"/>
      <c r="AC25" s="23"/>
      <c r="AD25" s="23"/>
      <c r="AE25" s="1" t="s">
        <v>1198</v>
      </c>
      <c r="AF25" s="1" t="str">
        <f t="shared" si="2"/>
        <v>non ammesso</v>
      </c>
      <c r="AG25" s="33" t="str">
        <f t="shared" si="3"/>
        <v>ammesso non finanziato</v>
      </c>
      <c r="AH25" s="23">
        <f t="shared" si="4"/>
        <v>1</v>
      </c>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row>
    <row r="26" spans="1:198" ht="12.75" customHeight="1">
      <c r="A26" s="9">
        <f t="shared" si="9"/>
        <v>25</v>
      </c>
      <c r="B26" s="10" t="s">
        <v>1209</v>
      </c>
      <c r="C26" s="12" t="s">
        <v>1219</v>
      </c>
      <c r="D26" s="45" t="s">
        <v>1218</v>
      </c>
      <c r="E26" s="1">
        <v>3</v>
      </c>
      <c r="F26" s="1">
        <v>3</v>
      </c>
      <c r="G26" s="1">
        <v>1</v>
      </c>
      <c r="H26" s="1">
        <v>1</v>
      </c>
      <c r="I26" s="1">
        <v>1</v>
      </c>
      <c r="J26" s="1">
        <v>0</v>
      </c>
      <c r="K26" s="1">
        <v>1</v>
      </c>
      <c r="L26" s="1">
        <v>0</v>
      </c>
      <c r="M26" s="1">
        <f>SUM(E26:L26)</f>
        <v>10</v>
      </c>
      <c r="N26" s="2">
        <v>294720</v>
      </c>
      <c r="O26" s="2">
        <v>160608</v>
      </c>
      <c r="P26" s="2"/>
      <c r="Q26" s="2"/>
      <c r="R26" s="2"/>
      <c r="S26" s="2"/>
      <c r="T26" s="2">
        <v>0</v>
      </c>
      <c r="U26" s="2">
        <f t="shared" si="5"/>
        <v>147360</v>
      </c>
      <c r="V26" s="55">
        <f t="shared" si="6"/>
        <v>88416</v>
      </c>
      <c r="W26" s="42"/>
      <c r="X26" s="52">
        <f>SUM(T2:T26)</f>
        <v>25432558.4</v>
      </c>
      <c r="Y26" s="52">
        <f t="shared" si="8"/>
        <v>-1432558.4000000004</v>
      </c>
      <c r="Z26" s="59" t="str">
        <f t="shared" si="1"/>
        <v>non ammesso</v>
      </c>
      <c r="AA26" s="23"/>
      <c r="AB26" s="23"/>
      <c r="AC26" s="23"/>
      <c r="AD26" s="23"/>
      <c r="AE26" s="1" t="s">
        <v>1198</v>
      </c>
      <c r="AF26" s="1" t="str">
        <f t="shared" si="2"/>
        <v>non ammesso</v>
      </c>
      <c r="AG26" s="33" t="str">
        <f t="shared" si="3"/>
        <v>ammesso non finanziato</v>
      </c>
      <c r="AH26" s="23">
        <f t="shared" si="4"/>
        <v>1</v>
      </c>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row>
    <row r="27" spans="1:198" ht="12.75" customHeight="1">
      <c r="A27" s="9">
        <f t="shared" si="9"/>
        <v>26</v>
      </c>
      <c r="B27" s="10" t="s">
        <v>1229</v>
      </c>
      <c r="C27" s="12"/>
      <c r="D27" s="48" t="s">
        <v>1228</v>
      </c>
      <c r="E27" s="1">
        <v>0</v>
      </c>
      <c r="F27" s="1">
        <v>0</v>
      </c>
      <c r="G27" s="1">
        <v>0</v>
      </c>
      <c r="H27" s="1">
        <v>0</v>
      </c>
      <c r="I27" s="1">
        <v>0</v>
      </c>
      <c r="J27" s="1">
        <v>0</v>
      </c>
      <c r="K27" s="1">
        <v>0</v>
      </c>
      <c r="L27" s="1">
        <v>0</v>
      </c>
      <c r="M27" s="1">
        <f t="shared" si="7"/>
        <v>0</v>
      </c>
      <c r="N27" s="2"/>
      <c r="O27" s="2"/>
      <c r="P27" s="2"/>
      <c r="Q27" s="2"/>
      <c r="R27" s="2"/>
      <c r="S27" s="2"/>
      <c r="T27" s="2">
        <f aca="true" t="shared" si="10" ref="T27:T32">+O27</f>
        <v>0</v>
      </c>
      <c r="U27" s="2"/>
      <c r="V27" s="55"/>
      <c r="W27" s="42"/>
      <c r="X27" s="52">
        <f>SUM(T2:T27)</f>
        <v>25432558.4</v>
      </c>
      <c r="Y27" s="52">
        <f t="shared" si="8"/>
        <v>-1432558.4000000004</v>
      </c>
      <c r="Z27" s="59" t="str">
        <f t="shared" si="1"/>
        <v>non ammesso</v>
      </c>
      <c r="AA27" s="23"/>
      <c r="AB27" s="23"/>
      <c r="AC27" s="23"/>
      <c r="AD27" s="23"/>
      <c r="AE27" s="1" t="s">
        <v>1245</v>
      </c>
      <c r="AF27" s="1" t="str">
        <f t="shared" si="2"/>
        <v>non ammesso</v>
      </c>
      <c r="AG27" s="33" t="str">
        <f t="shared" si="3"/>
        <v>ammesso non finanziato</v>
      </c>
      <c r="AH27" s="23">
        <f t="shared" si="4"/>
        <v>1</v>
      </c>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row>
    <row r="28" spans="1:198" ht="12.75" customHeight="1">
      <c r="A28" s="9">
        <f t="shared" si="9"/>
        <v>27</v>
      </c>
      <c r="B28" s="10" t="s">
        <v>1229</v>
      </c>
      <c r="C28" s="12"/>
      <c r="D28" s="48" t="s">
        <v>1236</v>
      </c>
      <c r="E28" s="1">
        <v>0</v>
      </c>
      <c r="F28" s="1">
        <v>0</v>
      </c>
      <c r="G28" s="1">
        <v>0</v>
      </c>
      <c r="H28" s="1">
        <v>0</v>
      </c>
      <c r="I28" s="1">
        <v>0</v>
      </c>
      <c r="J28" s="1">
        <v>0</v>
      </c>
      <c r="K28" s="1">
        <v>0</v>
      </c>
      <c r="L28" s="1">
        <v>0</v>
      </c>
      <c r="M28" s="1">
        <f t="shared" si="7"/>
        <v>0</v>
      </c>
      <c r="N28" s="2"/>
      <c r="O28" s="2"/>
      <c r="P28" s="2"/>
      <c r="Q28" s="2"/>
      <c r="R28" s="2"/>
      <c r="S28" s="2"/>
      <c r="T28" s="2">
        <f t="shared" si="10"/>
        <v>0</v>
      </c>
      <c r="U28" s="2"/>
      <c r="V28" s="55"/>
      <c r="W28" s="42"/>
      <c r="X28" s="52">
        <f>SUM(T2:T28)</f>
        <v>25432558.4</v>
      </c>
      <c r="Y28" s="52">
        <f t="shared" si="8"/>
        <v>-1432558.4000000004</v>
      </c>
      <c r="Z28" s="59" t="str">
        <f t="shared" si="1"/>
        <v>non ammesso</v>
      </c>
      <c r="AA28" s="23"/>
      <c r="AB28" s="23"/>
      <c r="AC28" s="23"/>
      <c r="AD28" s="23"/>
      <c r="AE28" s="1" t="s">
        <v>1245</v>
      </c>
      <c r="AF28" s="1" t="str">
        <f t="shared" si="2"/>
        <v>non ammesso</v>
      </c>
      <c r="AG28" s="33" t="str">
        <f t="shared" si="3"/>
        <v>ammesso non finanziato</v>
      </c>
      <c r="AH28" s="23">
        <f t="shared" si="4"/>
        <v>1</v>
      </c>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row>
    <row r="29" spans="1:198" ht="12.75" customHeight="1">
      <c r="A29" s="9">
        <f t="shared" si="9"/>
        <v>28</v>
      </c>
      <c r="B29" s="10" t="s">
        <v>1229</v>
      </c>
      <c r="C29" s="12"/>
      <c r="D29" s="48" t="s">
        <v>1235</v>
      </c>
      <c r="E29" s="1">
        <v>0</v>
      </c>
      <c r="F29" s="1">
        <v>0</v>
      </c>
      <c r="G29" s="1">
        <v>0</v>
      </c>
      <c r="H29" s="1">
        <v>0</v>
      </c>
      <c r="I29" s="1">
        <v>0</v>
      </c>
      <c r="J29" s="1">
        <v>0</v>
      </c>
      <c r="K29" s="1">
        <v>0</v>
      </c>
      <c r="L29" s="1">
        <v>0</v>
      </c>
      <c r="M29" s="1">
        <f t="shared" si="7"/>
        <v>0</v>
      </c>
      <c r="N29" s="2"/>
      <c r="O29" s="2"/>
      <c r="P29" s="2"/>
      <c r="Q29" s="2"/>
      <c r="R29" s="2"/>
      <c r="S29" s="2"/>
      <c r="T29" s="2">
        <f t="shared" si="10"/>
        <v>0</v>
      </c>
      <c r="U29" s="2"/>
      <c r="V29" s="55"/>
      <c r="W29" s="42"/>
      <c r="X29" s="52">
        <f>SUM(T2:T29)</f>
        <v>25432558.4</v>
      </c>
      <c r="Y29" s="52">
        <f t="shared" si="8"/>
        <v>-1432558.4000000004</v>
      </c>
      <c r="Z29" s="59" t="str">
        <f t="shared" si="1"/>
        <v>non ammesso</v>
      </c>
      <c r="AA29" s="23"/>
      <c r="AB29" s="23"/>
      <c r="AC29" s="23"/>
      <c r="AD29" s="23"/>
      <c r="AE29" s="1" t="s">
        <v>1245</v>
      </c>
      <c r="AF29" s="1" t="str">
        <f t="shared" si="2"/>
        <v>non ammesso</v>
      </c>
      <c r="AG29" s="33" t="str">
        <f t="shared" si="3"/>
        <v>ammesso non finanziato</v>
      </c>
      <c r="AH29" s="23">
        <f t="shared" si="4"/>
        <v>1</v>
      </c>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row>
    <row r="30" spans="1:198" ht="12.75" customHeight="1">
      <c r="A30" s="9">
        <f t="shared" si="9"/>
        <v>29</v>
      </c>
      <c r="B30" s="10" t="s">
        <v>1229</v>
      </c>
      <c r="C30" s="12"/>
      <c r="D30" s="48" t="s">
        <v>1239</v>
      </c>
      <c r="E30" s="1">
        <v>0</v>
      </c>
      <c r="F30" s="1">
        <v>0</v>
      </c>
      <c r="G30" s="1">
        <v>0</v>
      </c>
      <c r="H30" s="1">
        <v>0</v>
      </c>
      <c r="I30" s="1">
        <v>0</v>
      </c>
      <c r="J30" s="1">
        <v>0</v>
      </c>
      <c r="K30" s="1">
        <v>0</v>
      </c>
      <c r="L30" s="1">
        <v>0</v>
      </c>
      <c r="M30" s="1">
        <f t="shared" si="7"/>
        <v>0</v>
      </c>
      <c r="N30" s="2"/>
      <c r="O30" s="2"/>
      <c r="P30" s="2"/>
      <c r="Q30" s="2"/>
      <c r="R30" s="2"/>
      <c r="S30" s="2"/>
      <c r="T30" s="2">
        <f t="shared" si="10"/>
        <v>0</v>
      </c>
      <c r="U30" s="2"/>
      <c r="V30" s="55"/>
      <c r="W30" s="42"/>
      <c r="X30" s="52">
        <f>SUM(T2:T30)</f>
        <v>25432558.4</v>
      </c>
      <c r="Y30" s="52">
        <f t="shared" si="8"/>
        <v>-1432558.4000000004</v>
      </c>
      <c r="Z30" s="59" t="str">
        <f t="shared" si="1"/>
        <v>non ammesso</v>
      </c>
      <c r="AA30" s="23"/>
      <c r="AB30" s="23"/>
      <c r="AC30" s="23"/>
      <c r="AD30" s="23"/>
      <c r="AE30" s="1" t="s">
        <v>1245</v>
      </c>
      <c r="AF30" s="1" t="str">
        <f t="shared" si="2"/>
        <v>non ammesso</v>
      </c>
      <c r="AG30" s="33" t="str">
        <f t="shared" si="3"/>
        <v>ammesso non finanziato</v>
      </c>
      <c r="AH30" s="23">
        <f t="shared" si="4"/>
        <v>1</v>
      </c>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row>
    <row r="31" spans="1:198" ht="12.75" customHeight="1">
      <c r="A31" s="9">
        <f t="shared" si="9"/>
        <v>30</v>
      </c>
      <c r="B31" s="10" t="s">
        <v>1229</v>
      </c>
      <c r="C31" s="12"/>
      <c r="D31" s="48" t="s">
        <v>1240</v>
      </c>
      <c r="E31" s="1">
        <v>0</v>
      </c>
      <c r="F31" s="1">
        <v>0</v>
      </c>
      <c r="G31" s="1">
        <v>0</v>
      </c>
      <c r="H31" s="1">
        <v>0</v>
      </c>
      <c r="I31" s="1">
        <v>0</v>
      </c>
      <c r="J31" s="1">
        <v>0</v>
      </c>
      <c r="K31" s="1">
        <v>0</v>
      </c>
      <c r="L31" s="1">
        <v>0</v>
      </c>
      <c r="M31" s="1">
        <f t="shared" si="7"/>
        <v>0</v>
      </c>
      <c r="N31" s="2"/>
      <c r="O31" s="2"/>
      <c r="P31" s="2"/>
      <c r="Q31" s="2"/>
      <c r="R31" s="2"/>
      <c r="S31" s="2"/>
      <c r="T31" s="2">
        <f t="shared" si="10"/>
        <v>0</v>
      </c>
      <c r="U31" s="2"/>
      <c r="V31" s="55"/>
      <c r="W31" s="42"/>
      <c r="X31" s="52">
        <f>SUM(T2:T31)</f>
        <v>25432558.4</v>
      </c>
      <c r="Y31" s="52">
        <f t="shared" si="8"/>
        <v>-1432558.4000000004</v>
      </c>
      <c r="Z31" s="59" t="str">
        <f t="shared" si="1"/>
        <v>non ammesso</v>
      </c>
      <c r="AA31" s="23"/>
      <c r="AB31" s="23"/>
      <c r="AC31" s="23"/>
      <c r="AD31" s="23"/>
      <c r="AE31" s="1" t="s">
        <v>1245</v>
      </c>
      <c r="AF31" s="1" t="str">
        <f t="shared" si="2"/>
        <v>non ammesso</v>
      </c>
      <c r="AG31" s="33" t="str">
        <f t="shared" si="3"/>
        <v>ammesso non finanziato</v>
      </c>
      <c r="AH31" s="23">
        <f t="shared" si="4"/>
        <v>1</v>
      </c>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row>
    <row r="32" spans="1:198" ht="12.75" customHeight="1">
      <c r="A32" s="5">
        <f t="shared" si="9"/>
        <v>31</v>
      </c>
      <c r="B32" s="14" t="s">
        <v>1229</v>
      </c>
      <c r="C32" s="15"/>
      <c r="D32" s="49" t="s">
        <v>1240</v>
      </c>
      <c r="E32" s="6">
        <v>0</v>
      </c>
      <c r="F32" s="6">
        <v>0</v>
      </c>
      <c r="G32" s="6">
        <v>0</v>
      </c>
      <c r="H32" s="6">
        <v>0</v>
      </c>
      <c r="I32" s="6">
        <v>0</v>
      </c>
      <c r="J32" s="6">
        <v>0</v>
      </c>
      <c r="K32" s="6">
        <v>0</v>
      </c>
      <c r="L32" s="6">
        <v>0</v>
      </c>
      <c r="M32" s="6">
        <f t="shared" si="7"/>
        <v>0</v>
      </c>
      <c r="N32" s="7"/>
      <c r="O32" s="7"/>
      <c r="P32" s="7"/>
      <c r="Q32" s="7"/>
      <c r="R32" s="7"/>
      <c r="S32" s="7"/>
      <c r="T32" s="7">
        <f t="shared" si="10"/>
        <v>0</v>
      </c>
      <c r="U32" s="7"/>
      <c r="V32" s="56"/>
      <c r="W32" s="42"/>
      <c r="X32" s="53">
        <f>SUM(T2:T32)</f>
        <v>25432558.4</v>
      </c>
      <c r="Y32" s="53">
        <f t="shared" si="8"/>
        <v>-1432558.4000000004</v>
      </c>
      <c r="Z32" s="60" t="str">
        <f t="shared" si="1"/>
        <v>non ammesso</v>
      </c>
      <c r="AA32" s="23"/>
      <c r="AB32" s="23"/>
      <c r="AC32" s="23"/>
      <c r="AD32" s="23"/>
      <c r="AE32" s="6" t="s">
        <v>1245</v>
      </c>
      <c r="AF32" s="1" t="str">
        <f t="shared" si="2"/>
        <v>non ammesso</v>
      </c>
      <c r="AG32" s="33" t="str">
        <f t="shared" si="3"/>
        <v>ammesso non finanziato</v>
      </c>
      <c r="AH32" s="23">
        <f t="shared" si="4"/>
        <v>1</v>
      </c>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row>
    <row r="33" spans="1:198" ht="12.75">
      <c r="A33" s="16"/>
      <c r="B33" s="30"/>
      <c r="C33" s="41"/>
      <c r="D33" s="41"/>
      <c r="E33" s="30"/>
      <c r="F33" s="30"/>
      <c r="G33" s="30"/>
      <c r="H33" s="30"/>
      <c r="I33" s="30"/>
      <c r="J33" s="30"/>
      <c r="K33" s="30"/>
      <c r="L33" s="30"/>
      <c r="M33" s="30"/>
      <c r="N33" s="42">
        <f>SUM(N2:N32)</f>
        <v>41992170</v>
      </c>
      <c r="O33" s="42">
        <f>SUM(O2:O32)</f>
        <v>31259646</v>
      </c>
      <c r="P33" s="42">
        <f aca="true" t="shared" si="11" ref="P33:V33">SUM(P2:P32)</f>
        <v>30000</v>
      </c>
      <c r="Q33" s="42">
        <f t="shared" si="11"/>
        <v>0</v>
      </c>
      <c r="R33" s="42">
        <f t="shared" si="11"/>
        <v>0</v>
      </c>
      <c r="S33" s="42">
        <f t="shared" si="11"/>
        <v>0</v>
      </c>
      <c r="T33" s="42">
        <f>SUM(T2:T32)</f>
        <v>25432558.4</v>
      </c>
      <c r="U33" s="42">
        <f t="shared" si="11"/>
        <v>20981085</v>
      </c>
      <c r="V33" s="42">
        <f t="shared" si="11"/>
        <v>12588650.999999998</v>
      </c>
      <c r="W33" s="42"/>
      <c r="X33" s="42"/>
      <c r="Y33" s="42"/>
      <c r="Z33" s="41"/>
      <c r="AA33" s="23"/>
      <c r="AB33" s="23"/>
      <c r="AC33" s="23"/>
      <c r="AD33" s="23"/>
      <c r="AE33" s="30"/>
      <c r="AF33" s="30"/>
      <c r="AG33" s="30"/>
      <c r="AH33" s="23"/>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row>
    <row r="34" spans="1:198" ht="12.75">
      <c r="A34" s="16"/>
      <c r="B34" s="30"/>
      <c r="C34" s="41"/>
      <c r="D34" s="41"/>
      <c r="E34" s="30"/>
      <c r="F34" s="30"/>
      <c r="G34" s="30"/>
      <c r="H34" s="30"/>
      <c r="I34" s="30"/>
      <c r="J34" s="30"/>
      <c r="K34" s="30"/>
      <c r="L34" s="30"/>
      <c r="M34" s="30"/>
      <c r="N34" s="42"/>
      <c r="O34" s="42"/>
      <c r="P34" s="42"/>
      <c r="Q34" s="42"/>
      <c r="R34" s="42"/>
      <c r="S34" s="42"/>
      <c r="T34" s="42">
        <f>SUM(T2:T16)</f>
        <v>22366210.4</v>
      </c>
      <c r="U34" s="42">
        <f>SUM(U2:U19)</f>
        <v>18333149</v>
      </c>
      <c r="V34" s="42"/>
      <c r="W34" s="42"/>
      <c r="X34" s="23"/>
      <c r="Y34" s="23"/>
      <c r="Z34" s="41"/>
      <c r="AA34" s="23"/>
      <c r="AB34" s="23"/>
      <c r="AC34" s="23"/>
      <c r="AD34" s="23"/>
      <c r="AE34" s="30"/>
      <c r="AF34" s="30"/>
      <c r="AG34" s="30"/>
      <c r="AH34" s="23"/>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row>
    <row r="35" spans="1:198" ht="12.75">
      <c r="A35" s="16"/>
      <c r="B35" s="30"/>
      <c r="C35" s="41"/>
      <c r="D35" s="41"/>
      <c r="E35" s="30"/>
      <c r="F35" s="30"/>
      <c r="G35" s="30"/>
      <c r="H35" s="30"/>
      <c r="I35" s="30"/>
      <c r="J35" s="30"/>
      <c r="K35" s="30"/>
      <c r="L35" s="30"/>
      <c r="M35" s="30"/>
      <c r="N35" s="42">
        <f>SUM(N2:N19)</f>
        <v>36696298</v>
      </c>
      <c r="O35" s="42">
        <f>SUM(O2:O19)</f>
        <v>26498917</v>
      </c>
      <c r="P35" s="42"/>
      <c r="Q35" s="42"/>
      <c r="R35" s="42"/>
      <c r="S35" s="42"/>
      <c r="T35" s="42"/>
      <c r="U35" s="42"/>
      <c r="V35" s="42"/>
      <c r="W35" s="42"/>
      <c r="X35" s="23"/>
      <c r="Y35" s="23"/>
      <c r="Z35" s="41"/>
      <c r="AA35" s="23"/>
      <c r="AB35" s="23"/>
      <c r="AC35" s="23"/>
      <c r="AD35" s="23"/>
      <c r="AE35" s="30"/>
      <c r="AF35" s="30"/>
      <c r="AG35" s="30"/>
      <c r="AH35" s="23"/>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row>
    <row r="36" spans="1:198" ht="12.75">
      <c r="A36" s="16"/>
      <c r="B36" s="30"/>
      <c r="C36" s="41"/>
      <c r="D36" s="41"/>
      <c r="E36" s="30"/>
      <c r="F36" s="30"/>
      <c r="G36" s="30"/>
      <c r="H36" s="30"/>
      <c r="I36" s="30"/>
      <c r="J36" s="30"/>
      <c r="K36" s="30"/>
      <c r="L36" s="30"/>
      <c r="M36" s="30"/>
      <c r="N36" s="42"/>
      <c r="O36" s="42"/>
      <c r="P36" s="42"/>
      <c r="Q36" s="42"/>
      <c r="R36" s="42"/>
      <c r="S36" s="42"/>
      <c r="T36" s="42"/>
      <c r="U36" s="42"/>
      <c r="V36" s="42"/>
      <c r="W36" s="42"/>
      <c r="X36" s="23"/>
      <c r="Y36" s="23"/>
      <c r="Z36" s="41"/>
      <c r="AA36" s="23"/>
      <c r="AB36" s="23"/>
      <c r="AC36" s="23"/>
      <c r="AD36" s="23"/>
      <c r="AE36" s="30"/>
      <c r="AF36" s="30"/>
      <c r="AG36" s="30"/>
      <c r="AH36" s="23"/>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row>
    <row r="37" spans="1:198" ht="12.75">
      <c r="A37" s="16"/>
      <c r="B37" s="30"/>
      <c r="C37" s="41"/>
      <c r="D37" s="41"/>
      <c r="E37" s="30"/>
      <c r="F37" s="30"/>
      <c r="G37" s="30"/>
      <c r="H37" s="30"/>
      <c r="I37" s="30"/>
      <c r="J37" s="30"/>
      <c r="K37" s="30"/>
      <c r="L37" s="30"/>
      <c r="M37" s="30"/>
      <c r="N37" s="42"/>
      <c r="O37" s="42"/>
      <c r="P37" s="42"/>
      <c r="Q37" s="42"/>
      <c r="R37" s="42"/>
      <c r="S37" s="42"/>
      <c r="T37" s="42"/>
      <c r="U37" s="42"/>
      <c r="V37" s="42"/>
      <c r="W37" s="42"/>
      <c r="X37" s="23"/>
      <c r="Y37" s="23"/>
      <c r="Z37" s="41"/>
      <c r="AA37" s="23"/>
      <c r="AB37" s="23"/>
      <c r="AC37" s="23"/>
      <c r="AD37" s="23"/>
      <c r="AE37" s="30"/>
      <c r="AF37" s="30"/>
      <c r="AG37" s="30"/>
      <c r="AH37" s="23"/>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row>
    <row r="38" spans="1:198" ht="12.75">
      <c r="A38" s="16"/>
      <c r="B38" s="30"/>
      <c r="C38" s="41"/>
      <c r="D38" s="41"/>
      <c r="E38" s="30"/>
      <c r="F38" s="30"/>
      <c r="G38" s="30"/>
      <c r="H38" s="30"/>
      <c r="I38" s="30"/>
      <c r="J38" s="30"/>
      <c r="K38" s="30"/>
      <c r="L38" s="30"/>
      <c r="M38" s="30"/>
      <c r="N38" s="42"/>
      <c r="O38" s="42"/>
      <c r="P38" s="42"/>
      <c r="Q38" s="42"/>
      <c r="R38" s="42"/>
      <c r="S38" s="42"/>
      <c r="T38" s="42"/>
      <c r="U38" s="42"/>
      <c r="V38" s="42"/>
      <c r="W38" s="42"/>
      <c r="X38" s="23"/>
      <c r="Y38" s="23"/>
      <c r="Z38" s="41"/>
      <c r="AA38" s="23"/>
      <c r="AB38" s="23"/>
      <c r="AC38" s="23"/>
      <c r="AD38" s="23"/>
      <c r="AE38" s="30"/>
      <c r="AF38" s="30"/>
      <c r="AG38" s="30"/>
      <c r="AH38" s="23"/>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row>
    <row r="39" spans="1:198" ht="12.75">
      <c r="A39" s="16"/>
      <c r="B39" s="30"/>
      <c r="C39" s="41"/>
      <c r="D39" s="41"/>
      <c r="E39" s="30"/>
      <c r="F39" s="30"/>
      <c r="G39" s="30"/>
      <c r="H39" s="30"/>
      <c r="I39" s="30"/>
      <c r="J39" s="30"/>
      <c r="K39" s="30"/>
      <c r="L39" s="30"/>
      <c r="M39" s="30"/>
      <c r="N39" s="42"/>
      <c r="O39" s="42"/>
      <c r="P39" s="42"/>
      <c r="Q39" s="42"/>
      <c r="R39" s="42"/>
      <c r="S39" s="42"/>
      <c r="T39" s="42"/>
      <c r="U39" s="42"/>
      <c r="V39" s="42"/>
      <c r="W39" s="42"/>
      <c r="X39" s="23"/>
      <c r="Y39" s="23"/>
      <c r="Z39" s="41"/>
      <c r="AA39" s="23"/>
      <c r="AB39" s="23"/>
      <c r="AC39" s="23"/>
      <c r="AD39" s="23"/>
      <c r="AE39" s="30"/>
      <c r="AF39" s="30"/>
      <c r="AG39" s="30"/>
      <c r="AH39" s="23"/>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row>
    <row r="40" spans="1:198" ht="12.75">
      <c r="A40" s="16"/>
      <c r="B40" s="30"/>
      <c r="C40" s="41"/>
      <c r="D40" s="41"/>
      <c r="E40" s="30"/>
      <c r="F40" s="30"/>
      <c r="G40" s="30"/>
      <c r="H40" s="30"/>
      <c r="I40" s="30"/>
      <c r="J40" s="30"/>
      <c r="K40" s="30"/>
      <c r="L40" s="30"/>
      <c r="M40" s="30"/>
      <c r="N40" s="42"/>
      <c r="O40" s="42"/>
      <c r="P40" s="42"/>
      <c r="Q40" s="42"/>
      <c r="R40" s="42"/>
      <c r="S40" s="42"/>
      <c r="T40" s="42"/>
      <c r="U40" s="42"/>
      <c r="V40" s="42"/>
      <c r="W40" s="42"/>
      <c r="X40" s="23"/>
      <c r="Y40" s="23"/>
      <c r="Z40" s="41"/>
      <c r="AA40" s="23"/>
      <c r="AB40" s="23"/>
      <c r="AC40" s="23"/>
      <c r="AD40" s="23"/>
      <c r="AE40" s="30"/>
      <c r="AF40" s="30"/>
      <c r="AG40" s="30"/>
      <c r="AH40" s="23"/>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row>
    <row r="41" spans="1:198" ht="12.75">
      <c r="A41" s="16"/>
      <c r="B41" s="30"/>
      <c r="C41" s="41"/>
      <c r="D41" s="41"/>
      <c r="E41" s="30"/>
      <c r="F41" s="30"/>
      <c r="G41" s="30"/>
      <c r="H41" s="30"/>
      <c r="I41" s="30"/>
      <c r="J41" s="30"/>
      <c r="K41" s="30"/>
      <c r="L41" s="30"/>
      <c r="M41" s="30"/>
      <c r="N41" s="42"/>
      <c r="O41" s="42"/>
      <c r="P41" s="42"/>
      <c r="Q41" s="42"/>
      <c r="R41" s="42"/>
      <c r="S41" s="42"/>
      <c r="T41" s="42"/>
      <c r="U41" s="42"/>
      <c r="V41" s="42"/>
      <c r="W41" s="42"/>
      <c r="X41" s="23"/>
      <c r="Y41" s="23"/>
      <c r="Z41" s="41"/>
      <c r="AA41" s="23"/>
      <c r="AB41" s="23"/>
      <c r="AC41" s="23"/>
      <c r="AD41" s="23"/>
      <c r="AE41" s="30"/>
      <c r="AF41" s="30"/>
      <c r="AG41" s="30"/>
      <c r="AH41" s="23"/>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row>
  </sheetData>
  <sheetProtection/>
  <mergeCells count="5">
    <mergeCell ref="AR3:AR7"/>
    <mergeCell ref="AM3:AM6"/>
    <mergeCell ref="AN3:AN6"/>
    <mergeCell ref="AO3:AO7"/>
    <mergeCell ref="AQ3:A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19"/>
  <sheetViews>
    <sheetView zoomScale="65" zoomScaleNormal="65" zoomScalePageLayoutView="0" workbookViewId="0" topLeftCell="C1">
      <selection activeCell="J3" sqref="J3"/>
    </sheetView>
  </sheetViews>
  <sheetFormatPr defaultColWidth="9.140625" defaultRowHeight="12.75"/>
  <cols>
    <col min="1" max="1" width="25.57421875" style="69" customWidth="1"/>
    <col min="2" max="2" width="36.421875" style="69" customWidth="1"/>
    <col min="3" max="3" width="21.8515625" style="77" customWidth="1"/>
    <col min="4" max="4" width="21.7109375" style="69" customWidth="1"/>
    <col min="5" max="5" width="12.8515625" style="69" customWidth="1"/>
    <col min="6" max="6" width="9.140625" style="78" customWidth="1"/>
    <col min="7" max="7" width="13.8515625" style="69" customWidth="1"/>
    <col min="8" max="8" width="18.57421875" style="69" customWidth="1"/>
    <col min="9" max="9" width="23.140625" style="69" customWidth="1"/>
    <col min="10" max="10" width="33.00390625" style="78" customWidth="1"/>
    <col min="11" max="16384" width="9.140625" style="69" customWidth="1"/>
  </cols>
  <sheetData>
    <row r="1" spans="1:10" s="65" customFormat="1" ht="38.25">
      <c r="A1" s="62" t="s">
        <v>1151</v>
      </c>
      <c r="B1" s="62" t="s">
        <v>1309</v>
      </c>
      <c r="C1" s="63" t="s">
        <v>1310</v>
      </c>
      <c r="D1" s="64" t="s">
        <v>1311</v>
      </c>
      <c r="E1" s="64" t="s">
        <v>1312</v>
      </c>
      <c r="F1" s="64" t="s">
        <v>1313</v>
      </c>
      <c r="G1" s="64" t="s">
        <v>1314</v>
      </c>
      <c r="H1" s="64" t="s">
        <v>1315</v>
      </c>
      <c r="I1" s="64" t="s">
        <v>1316</v>
      </c>
      <c r="J1" s="64" t="s">
        <v>1317</v>
      </c>
    </row>
    <row r="2" spans="1:10" ht="25.5">
      <c r="A2" s="66" t="s">
        <v>1318</v>
      </c>
      <c r="B2" s="66" t="s">
        <v>1319</v>
      </c>
      <c r="C2" s="67" t="s">
        <v>1320</v>
      </c>
      <c r="D2" s="66"/>
      <c r="E2" s="66"/>
      <c r="F2" s="68"/>
      <c r="G2" s="66"/>
      <c r="H2" s="66"/>
      <c r="I2" s="66"/>
      <c r="J2" s="68" t="s">
        <v>1321</v>
      </c>
    </row>
    <row r="3" spans="1:10" ht="25.5">
      <c r="A3" s="66" t="s">
        <v>1322</v>
      </c>
      <c r="B3" s="66" t="s">
        <v>1323</v>
      </c>
      <c r="C3" s="67" t="s">
        <v>1324</v>
      </c>
      <c r="D3" s="66" t="s">
        <v>6</v>
      </c>
      <c r="E3" s="66" t="s">
        <v>6</v>
      </c>
      <c r="F3" s="68" t="s">
        <v>1325</v>
      </c>
      <c r="G3" s="66" t="s">
        <v>1325</v>
      </c>
      <c r="H3" s="66" t="s">
        <v>1326</v>
      </c>
      <c r="I3" s="66" t="s">
        <v>1168</v>
      </c>
      <c r="J3" s="68"/>
    </row>
    <row r="4" spans="1:10" ht="38.25">
      <c r="A4" s="66" t="s">
        <v>1327</v>
      </c>
      <c r="B4" s="66" t="s">
        <v>1178</v>
      </c>
      <c r="C4" s="67" t="s">
        <v>1328</v>
      </c>
      <c r="D4" s="66" t="s">
        <v>1325</v>
      </c>
      <c r="E4" s="66" t="s">
        <v>1329</v>
      </c>
      <c r="F4" s="68" t="s">
        <v>1325</v>
      </c>
      <c r="G4" s="66" t="s">
        <v>1325</v>
      </c>
      <c r="H4" s="66"/>
      <c r="I4" s="66"/>
      <c r="J4" s="68"/>
    </row>
    <row r="5" spans="1:10" ht="25.5">
      <c r="A5" s="66" t="s">
        <v>1330</v>
      </c>
      <c r="B5" s="66" t="s">
        <v>1331</v>
      </c>
      <c r="C5" s="67" t="s">
        <v>1332</v>
      </c>
      <c r="D5" s="66" t="s">
        <v>1325</v>
      </c>
      <c r="E5" s="66" t="s">
        <v>1325</v>
      </c>
      <c r="F5" s="68" t="s">
        <v>1325</v>
      </c>
      <c r="G5" s="66" t="s">
        <v>1325</v>
      </c>
      <c r="H5" s="66" t="s">
        <v>1326</v>
      </c>
      <c r="I5" s="66"/>
      <c r="J5" s="68" t="s">
        <v>1333</v>
      </c>
    </row>
    <row r="6" spans="1:10" ht="38.25">
      <c r="A6" s="70" t="s">
        <v>1334</v>
      </c>
      <c r="B6" s="66" t="s">
        <v>1335</v>
      </c>
      <c r="C6" s="67" t="s">
        <v>1336</v>
      </c>
      <c r="D6" s="66" t="s">
        <v>1325</v>
      </c>
      <c r="E6" s="66" t="s">
        <v>1325</v>
      </c>
      <c r="F6" s="68" t="s">
        <v>1325</v>
      </c>
      <c r="G6" s="66"/>
      <c r="H6" s="66" t="s">
        <v>1337</v>
      </c>
      <c r="I6" s="66" t="s">
        <v>1168</v>
      </c>
      <c r="J6" s="68" t="s">
        <v>1338</v>
      </c>
    </row>
    <row r="7" spans="1:10" ht="51">
      <c r="A7" s="66" t="s">
        <v>1339</v>
      </c>
      <c r="B7" s="66" t="s">
        <v>1340</v>
      </c>
      <c r="C7" s="67" t="s">
        <v>1341</v>
      </c>
      <c r="D7" s="66" t="s">
        <v>1325</v>
      </c>
      <c r="E7" s="66" t="s">
        <v>1342</v>
      </c>
      <c r="F7" s="68" t="s">
        <v>1325</v>
      </c>
      <c r="G7" s="66"/>
      <c r="H7" s="66"/>
      <c r="I7" s="66"/>
      <c r="J7" s="68"/>
    </row>
    <row r="8" spans="1:10" ht="38.25">
      <c r="A8" s="71" t="s">
        <v>1343</v>
      </c>
      <c r="B8" s="71" t="s">
        <v>1344</v>
      </c>
      <c r="C8" s="72" t="s">
        <v>1345</v>
      </c>
      <c r="D8" s="71" t="s">
        <v>1325</v>
      </c>
      <c r="E8" s="71" t="s">
        <v>1325</v>
      </c>
      <c r="F8" s="73" t="s">
        <v>1325</v>
      </c>
      <c r="G8" s="71" t="s">
        <v>1325</v>
      </c>
      <c r="H8" s="71" t="s">
        <v>1346</v>
      </c>
      <c r="I8" s="71" t="s">
        <v>1168</v>
      </c>
      <c r="J8" s="73" t="s">
        <v>1347</v>
      </c>
    </row>
    <row r="9" spans="1:10" ht="25.5">
      <c r="A9" s="66" t="s">
        <v>1348</v>
      </c>
      <c r="B9" s="66" t="s">
        <v>1214</v>
      </c>
      <c r="C9" s="67" t="s">
        <v>1354</v>
      </c>
      <c r="D9" s="66" t="s">
        <v>1325</v>
      </c>
      <c r="E9" s="66" t="s">
        <v>1325</v>
      </c>
      <c r="F9" s="68" t="s">
        <v>1325</v>
      </c>
      <c r="G9" s="66" t="s">
        <v>1325</v>
      </c>
      <c r="H9" s="66" t="s">
        <v>1326</v>
      </c>
      <c r="I9" s="66" t="s">
        <v>1168</v>
      </c>
      <c r="J9" s="68"/>
    </row>
    <row r="10" spans="1:10" ht="25.5">
      <c r="A10" s="66" t="s">
        <v>1355</v>
      </c>
      <c r="B10" s="66" t="s">
        <v>1356</v>
      </c>
      <c r="C10" s="67" t="s">
        <v>1357</v>
      </c>
      <c r="D10" s="66"/>
      <c r="E10" s="66" t="s">
        <v>1325</v>
      </c>
      <c r="F10" s="68" t="s">
        <v>1325</v>
      </c>
      <c r="G10" s="66" t="s">
        <v>1325</v>
      </c>
      <c r="H10" s="66" t="s">
        <v>1326</v>
      </c>
      <c r="I10" s="66"/>
      <c r="J10" s="68"/>
    </row>
    <row r="11" spans="1:10" ht="63.75">
      <c r="A11" s="66" t="s">
        <v>1358</v>
      </c>
      <c r="B11" s="66" t="s">
        <v>1359</v>
      </c>
      <c r="C11" s="67" t="s">
        <v>1360</v>
      </c>
      <c r="D11" s="66" t="s">
        <v>1325</v>
      </c>
      <c r="E11" s="66" t="s">
        <v>1361</v>
      </c>
      <c r="F11" s="68" t="s">
        <v>1325</v>
      </c>
      <c r="G11" s="66" t="s">
        <v>1325</v>
      </c>
      <c r="H11" s="66" t="s">
        <v>1326</v>
      </c>
      <c r="I11" s="66"/>
      <c r="J11" s="68"/>
    </row>
    <row r="12" spans="1:12" ht="26.25">
      <c r="A12" s="66" t="s">
        <v>1362</v>
      </c>
      <c r="B12" s="66" t="s">
        <v>1363</v>
      </c>
      <c r="C12" s="67" t="s">
        <v>1367</v>
      </c>
      <c r="D12" s="66" t="s">
        <v>1325</v>
      </c>
      <c r="E12" s="66" t="s">
        <v>1325</v>
      </c>
      <c r="F12" s="68" t="s">
        <v>1325</v>
      </c>
      <c r="G12" s="66" t="s">
        <v>1325</v>
      </c>
      <c r="H12" s="66" t="s">
        <v>1326</v>
      </c>
      <c r="I12" s="66"/>
      <c r="J12" s="68"/>
      <c r="K12" s="74"/>
      <c r="L12" s="75"/>
    </row>
    <row r="13" spans="1:12" ht="64.5">
      <c r="A13" s="70" t="s">
        <v>1368</v>
      </c>
      <c r="B13" s="66" t="s">
        <v>1369</v>
      </c>
      <c r="C13" s="67" t="s">
        <v>1370</v>
      </c>
      <c r="D13" s="66" t="s">
        <v>1325</v>
      </c>
      <c r="E13" s="66" t="s">
        <v>1371</v>
      </c>
      <c r="F13" s="68" t="s">
        <v>1325</v>
      </c>
      <c r="G13" s="66" t="s">
        <v>1325</v>
      </c>
      <c r="H13" s="66" t="s">
        <v>1326</v>
      </c>
      <c r="I13" s="66"/>
      <c r="J13" s="68"/>
      <c r="K13" s="76"/>
      <c r="L13" s="75"/>
    </row>
    <row r="14" spans="1:12" ht="25.5">
      <c r="A14" s="66" t="s">
        <v>1372</v>
      </c>
      <c r="B14" s="66" t="s">
        <v>1207</v>
      </c>
      <c r="C14" s="67" t="s">
        <v>1373</v>
      </c>
      <c r="D14" s="66" t="s">
        <v>1325</v>
      </c>
      <c r="E14" s="66" t="s">
        <v>1325</v>
      </c>
      <c r="F14" s="68" t="s">
        <v>1325</v>
      </c>
      <c r="G14" s="66" t="s">
        <v>1325</v>
      </c>
      <c r="H14" s="66" t="s">
        <v>1326</v>
      </c>
      <c r="I14" s="66"/>
      <c r="J14" s="68"/>
      <c r="K14" s="75"/>
      <c r="L14" s="75"/>
    </row>
    <row r="15" spans="1:10" ht="63.75">
      <c r="A15" s="70" t="s">
        <v>1374</v>
      </c>
      <c r="B15" s="66" t="s">
        <v>1375</v>
      </c>
      <c r="C15" s="67" t="s">
        <v>1376</v>
      </c>
      <c r="D15" s="66" t="s">
        <v>1325</v>
      </c>
      <c r="E15" s="66" t="s">
        <v>1325</v>
      </c>
      <c r="F15" s="68" t="s">
        <v>1325</v>
      </c>
      <c r="G15" s="66" t="s">
        <v>1377</v>
      </c>
      <c r="H15" s="66" t="s">
        <v>1326</v>
      </c>
      <c r="I15" s="66"/>
      <c r="J15" s="68" t="s">
        <v>1378</v>
      </c>
    </row>
    <row r="16" spans="1:10" ht="12.75">
      <c r="A16" s="66" t="s">
        <v>1379</v>
      </c>
      <c r="B16" s="66" t="s">
        <v>1380</v>
      </c>
      <c r="C16" s="67" t="s">
        <v>1381</v>
      </c>
      <c r="D16" s="66" t="s">
        <v>1325</v>
      </c>
      <c r="E16" s="66" t="s">
        <v>1325</v>
      </c>
      <c r="F16" s="68" t="s">
        <v>1325</v>
      </c>
      <c r="G16" s="66" t="s">
        <v>1325</v>
      </c>
      <c r="H16" s="66" t="s">
        <v>1326</v>
      </c>
      <c r="I16" s="66"/>
      <c r="J16" s="68"/>
    </row>
    <row r="17" spans="1:10" ht="25.5">
      <c r="A17" s="66" t="s">
        <v>1382</v>
      </c>
      <c r="B17" s="66" t="s">
        <v>1386</v>
      </c>
      <c r="C17" s="67" t="s">
        <v>1387</v>
      </c>
      <c r="D17" s="66" t="s">
        <v>1377</v>
      </c>
      <c r="E17" s="66" t="s">
        <v>1325</v>
      </c>
      <c r="F17" s="68" t="s">
        <v>1325</v>
      </c>
      <c r="G17" s="66"/>
      <c r="H17" s="66"/>
      <c r="I17" s="66"/>
      <c r="J17" s="68"/>
    </row>
    <row r="18" spans="1:10" ht="25.5">
      <c r="A18" s="71" t="s">
        <v>1388</v>
      </c>
      <c r="B18" s="71" t="s">
        <v>1389</v>
      </c>
      <c r="C18" s="72" t="s">
        <v>1390</v>
      </c>
      <c r="D18" s="71" t="s">
        <v>1325</v>
      </c>
      <c r="E18" s="71" t="s">
        <v>1325</v>
      </c>
      <c r="F18" s="73" t="s">
        <v>1325</v>
      </c>
      <c r="G18" s="71" t="s">
        <v>1325</v>
      </c>
      <c r="H18" s="71" t="s">
        <v>1391</v>
      </c>
      <c r="I18" s="71" t="s">
        <v>1168</v>
      </c>
      <c r="J18" s="73"/>
    </row>
    <row r="19" spans="1:10" ht="25.5">
      <c r="A19" s="66" t="s">
        <v>1392</v>
      </c>
      <c r="B19" s="66" t="s">
        <v>1202</v>
      </c>
      <c r="C19" s="67" t="s">
        <v>1393</v>
      </c>
      <c r="D19" s="66" t="s">
        <v>1377</v>
      </c>
      <c r="E19" s="66" t="s">
        <v>1325</v>
      </c>
      <c r="F19" s="68" t="s">
        <v>1325</v>
      </c>
      <c r="G19" s="66" t="s">
        <v>1325</v>
      </c>
      <c r="H19" s="66" t="s">
        <v>1326</v>
      </c>
      <c r="I19" s="66"/>
      <c r="J19" s="68"/>
    </row>
  </sheetData>
  <sheetProtection/>
  <printOptions/>
  <pageMargins left="0" right="0" top="0" bottom="0" header="0.15748031496062992" footer="0.5905511811023623"/>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AB28"/>
  <sheetViews>
    <sheetView workbookViewId="0" topLeftCell="A1">
      <pane xSplit="4" ySplit="1" topLeftCell="V2" activePane="bottomRight" state="frozen"/>
      <selection pane="topLeft" activeCell="A1" sqref="A1"/>
      <selection pane="topRight" activeCell="E1" sqref="E1"/>
      <selection pane="bottomLeft" activeCell="A2" sqref="A2"/>
      <selection pane="bottomRight" activeCell="W1" sqref="W1:AB1"/>
    </sheetView>
  </sheetViews>
  <sheetFormatPr defaultColWidth="9.140625" defaultRowHeight="12.75"/>
  <cols>
    <col min="1" max="2" width="3.00390625" style="509" bestFit="1" customWidth="1"/>
    <col min="3" max="3" width="11.00390625" style="509" customWidth="1"/>
    <col min="4" max="4" width="11.28125" style="509" customWidth="1"/>
    <col min="5" max="5" width="17.28125" style="509" hidden="1" customWidth="1"/>
    <col min="6" max="6" width="11.00390625" style="509" hidden="1" customWidth="1"/>
    <col min="7" max="7" width="12.57421875" style="509" hidden="1" customWidth="1"/>
    <col min="8" max="8" width="7.7109375" style="509" hidden="1" customWidth="1"/>
    <col min="9" max="9" width="3.140625" style="509" hidden="1" customWidth="1"/>
    <col min="10" max="10" width="12.28125" style="509" hidden="1" customWidth="1"/>
    <col min="11" max="11" width="5.00390625" style="509" hidden="1" customWidth="1"/>
    <col min="12" max="12" width="5.28125" style="509" hidden="1" customWidth="1"/>
    <col min="13" max="13" width="10.8515625" style="509" bestFit="1" customWidth="1"/>
    <col min="14" max="14" width="10.8515625" style="509" customWidth="1"/>
    <col min="15" max="15" width="8.7109375" style="509" bestFit="1" customWidth="1"/>
    <col min="16" max="16" width="5.140625" style="509" bestFit="1" customWidth="1"/>
    <col min="17" max="17" width="0" style="509" hidden="1" customWidth="1"/>
    <col min="18" max="18" width="8.7109375" style="509" bestFit="1" customWidth="1"/>
    <col min="19" max="19" width="3.00390625" style="509" bestFit="1" customWidth="1"/>
    <col min="20" max="21" width="13.00390625" style="580" customWidth="1"/>
    <col min="22" max="22" width="22.421875" style="509" customWidth="1"/>
    <col min="23" max="23" width="35.28125" style="509" bestFit="1" customWidth="1"/>
    <col min="24" max="24" width="6.28125" style="509" customWidth="1"/>
    <col min="25" max="26" width="10.140625" style="509" bestFit="1" customWidth="1"/>
    <col min="27" max="27" width="4.00390625" style="509" customWidth="1"/>
    <col min="28" max="28" width="12.00390625" style="509" customWidth="1"/>
    <col min="29" max="16384" width="9.140625" style="509" customWidth="1"/>
  </cols>
  <sheetData>
    <row r="1" spans="1:28" ht="79.5">
      <c r="A1" s="495" t="s">
        <v>803</v>
      </c>
      <c r="B1" s="495" t="s">
        <v>804</v>
      </c>
      <c r="C1" s="496" t="s">
        <v>1260</v>
      </c>
      <c r="D1" s="496" t="s">
        <v>1261</v>
      </c>
      <c r="E1" s="496" t="s">
        <v>805</v>
      </c>
      <c r="F1" s="497" t="s">
        <v>13</v>
      </c>
      <c r="G1" s="498" t="s">
        <v>806</v>
      </c>
      <c r="H1" s="495" t="s">
        <v>807</v>
      </c>
      <c r="I1" s="495" t="s">
        <v>808</v>
      </c>
      <c r="J1" s="495" t="s">
        <v>809</v>
      </c>
      <c r="K1" s="495" t="s">
        <v>810</v>
      </c>
      <c r="L1" s="499" t="s">
        <v>811</v>
      </c>
      <c r="M1" s="500" t="s">
        <v>812</v>
      </c>
      <c r="N1" s="500" t="s">
        <v>813</v>
      </c>
      <c r="O1" s="501" t="s">
        <v>814</v>
      </c>
      <c r="P1" s="502" t="s">
        <v>815</v>
      </c>
      <c r="Q1" s="503"/>
      <c r="R1" s="504" t="s">
        <v>816</v>
      </c>
      <c r="S1" s="504" t="s">
        <v>817</v>
      </c>
      <c r="T1" s="505" t="s">
        <v>818</v>
      </c>
      <c r="U1" s="505" t="s">
        <v>819</v>
      </c>
      <c r="V1" s="504" t="s">
        <v>820</v>
      </c>
      <c r="W1" s="506" t="s">
        <v>821</v>
      </c>
      <c r="X1" s="507" t="s">
        <v>822</v>
      </c>
      <c r="Y1" s="507" t="s">
        <v>823</v>
      </c>
      <c r="Z1" s="508" t="s">
        <v>824</v>
      </c>
      <c r="AA1" s="508" t="s">
        <v>825</v>
      </c>
      <c r="AB1" s="508" t="s">
        <v>826</v>
      </c>
    </row>
    <row r="2" spans="1:27" ht="56.25">
      <c r="A2" s="120"/>
      <c r="B2" s="120">
        <f>+Dati!D3</f>
        <v>1</v>
      </c>
      <c r="C2" s="121" t="str">
        <f>+Dati!F3</f>
        <v>Modugno</v>
      </c>
      <c r="D2" s="121" t="str">
        <f>+Dati!E3</f>
        <v>Pixel</v>
      </c>
      <c r="E2" s="512" t="s">
        <v>827</v>
      </c>
      <c r="F2" s="513" t="s">
        <v>828</v>
      </c>
      <c r="G2" s="514" t="s">
        <v>829</v>
      </c>
      <c r="H2" s="510" t="s">
        <v>1234</v>
      </c>
      <c r="I2" s="510" t="s">
        <v>17</v>
      </c>
      <c r="J2" s="515" t="s">
        <v>830</v>
      </c>
      <c r="K2" s="510">
        <v>15</v>
      </c>
      <c r="L2" s="510">
        <v>71100</v>
      </c>
      <c r="M2" s="516">
        <f>+Dati!N3</f>
        <v>200000</v>
      </c>
      <c r="N2" s="517">
        <v>194745</v>
      </c>
      <c r="O2" s="518">
        <v>38139</v>
      </c>
      <c r="P2" s="519">
        <v>16</v>
      </c>
      <c r="Q2" s="520">
        <f aca="true" t="shared" si="0" ref="Q2:Q15">P2/12</f>
        <v>1.3333333333333333</v>
      </c>
      <c r="R2" s="521">
        <f aca="true" t="shared" si="1" ref="R2:R15">O2+(P2*365/12)</f>
        <v>38625.666666666664</v>
      </c>
      <c r="S2" s="522" t="s">
        <v>831</v>
      </c>
      <c r="T2" s="523"/>
      <c r="U2" s="523"/>
      <c r="V2" s="524" t="s">
        <v>832</v>
      </c>
      <c r="W2" s="525"/>
      <c r="X2" s="525"/>
      <c r="Y2" s="525"/>
      <c r="Z2" s="526" t="s">
        <v>1418</v>
      </c>
      <c r="AA2" s="527" t="s">
        <v>833</v>
      </c>
    </row>
    <row r="3" spans="1:27" ht="67.5">
      <c r="A3" s="120"/>
      <c r="B3" s="120">
        <f>+Dati!D4</f>
        <v>2</v>
      </c>
      <c r="C3" s="121" t="str">
        <f>+Dati!F4</f>
        <v>Noicattaro</v>
      </c>
      <c r="D3" s="121" t="str">
        <f>+Dati!E4</f>
        <v>Sud Est Barese</v>
      </c>
      <c r="E3" s="528" t="s">
        <v>992</v>
      </c>
      <c r="F3" s="513" t="s">
        <v>834</v>
      </c>
      <c r="G3" s="514" t="s">
        <v>835</v>
      </c>
      <c r="H3" s="510" t="s">
        <v>1222</v>
      </c>
      <c r="I3" s="510" t="s">
        <v>1275</v>
      </c>
      <c r="J3" s="515" t="s">
        <v>836</v>
      </c>
      <c r="K3" s="510">
        <v>39</v>
      </c>
      <c r="L3" s="510">
        <v>73100</v>
      </c>
      <c r="M3" s="516">
        <f>+Dati!N4</f>
        <v>2276816.79</v>
      </c>
      <c r="N3" s="517">
        <v>382699.46</v>
      </c>
      <c r="O3" s="518">
        <v>38169</v>
      </c>
      <c r="P3" s="519">
        <f>15+6+9</f>
        <v>30</v>
      </c>
      <c r="Q3" s="520">
        <f t="shared" si="0"/>
        <v>2.5</v>
      </c>
      <c r="R3" s="521">
        <f t="shared" si="1"/>
        <v>39081.5</v>
      </c>
      <c r="S3" s="522" t="s">
        <v>831</v>
      </c>
      <c r="T3" s="523"/>
      <c r="U3" s="523"/>
      <c r="V3" s="524" t="s">
        <v>832</v>
      </c>
      <c r="W3" s="525"/>
      <c r="X3" s="525"/>
      <c r="Y3" s="525"/>
      <c r="Z3" s="526" t="s">
        <v>1418</v>
      </c>
      <c r="AA3" s="527" t="s">
        <v>833</v>
      </c>
    </row>
    <row r="4" spans="1:27" ht="56.25">
      <c r="A4" s="120"/>
      <c r="B4" s="120">
        <f>+Dati!D5</f>
        <v>3</v>
      </c>
      <c r="C4" s="121" t="str">
        <f>+Dati!F5</f>
        <v>Gioia del Colle</v>
      </c>
      <c r="D4" s="121" t="str">
        <f>+Dati!E5</f>
        <v>Murgia-NET</v>
      </c>
      <c r="E4" s="512" t="s">
        <v>837</v>
      </c>
      <c r="F4" s="513" t="s">
        <v>838</v>
      </c>
      <c r="G4" s="514" t="s">
        <v>839</v>
      </c>
      <c r="H4" s="510" t="s">
        <v>1184</v>
      </c>
      <c r="I4" s="510" t="s">
        <v>15</v>
      </c>
      <c r="J4" s="515" t="s">
        <v>840</v>
      </c>
      <c r="K4" s="510" t="s">
        <v>841</v>
      </c>
      <c r="L4" s="510">
        <v>70126</v>
      </c>
      <c r="M4" s="516">
        <f>+Dati!N5</f>
        <v>1832797.64</v>
      </c>
      <c r="N4" s="517">
        <v>529607</v>
      </c>
      <c r="O4" s="518">
        <v>38376</v>
      </c>
      <c r="P4" s="519">
        <f>18+6+2</f>
        <v>26</v>
      </c>
      <c r="Q4" s="520">
        <f t="shared" si="0"/>
        <v>2.1666666666666665</v>
      </c>
      <c r="R4" s="521">
        <f t="shared" si="1"/>
        <v>39166.833333333336</v>
      </c>
      <c r="S4" s="522" t="s">
        <v>831</v>
      </c>
      <c r="T4" s="523"/>
      <c r="U4" s="523"/>
      <c r="V4" s="524" t="s">
        <v>832</v>
      </c>
      <c r="W4" s="525"/>
      <c r="X4" s="525"/>
      <c r="Y4" s="525"/>
      <c r="Z4" s="526" t="s">
        <v>1418</v>
      </c>
      <c r="AA4" s="527" t="s">
        <v>833</v>
      </c>
    </row>
    <row r="5" spans="1:28" ht="63.75">
      <c r="A5" s="120"/>
      <c r="B5" s="120">
        <f>+Dati!D6</f>
        <v>4</v>
      </c>
      <c r="C5" s="121" t="str">
        <f>+Dati!F6</f>
        <v>Brindisi</v>
      </c>
      <c r="D5" s="121" t="str">
        <f>+Dati!E6</f>
        <v>RETE UNITARIA</v>
      </c>
      <c r="E5" s="512" t="s">
        <v>842</v>
      </c>
      <c r="F5" s="513" t="s">
        <v>843</v>
      </c>
      <c r="G5" s="514" t="s">
        <v>844</v>
      </c>
      <c r="H5" s="510" t="s">
        <v>1184</v>
      </c>
      <c r="I5" s="510" t="s">
        <v>15</v>
      </c>
      <c r="J5" s="515" t="s">
        <v>845</v>
      </c>
      <c r="K5" s="510">
        <v>5</v>
      </c>
      <c r="L5" s="510">
        <v>70125</v>
      </c>
      <c r="M5" s="516">
        <f>+Dati!N6</f>
        <v>1998060</v>
      </c>
      <c r="N5" s="517">
        <v>463750</v>
      </c>
      <c r="O5" s="518">
        <v>38314</v>
      </c>
      <c r="P5" s="519">
        <v>30</v>
      </c>
      <c r="Q5" s="520">
        <f t="shared" si="0"/>
        <v>2.5</v>
      </c>
      <c r="R5" s="521">
        <f t="shared" si="1"/>
        <v>39226.5</v>
      </c>
      <c r="S5" s="522" t="s">
        <v>831</v>
      </c>
      <c r="T5" s="529">
        <v>793500</v>
      </c>
      <c r="U5" s="529">
        <v>1211</v>
      </c>
      <c r="V5" s="530" t="s">
        <v>846</v>
      </c>
      <c r="W5" s="525"/>
      <c r="X5" s="525"/>
      <c r="Y5" s="525"/>
      <c r="Z5" s="531">
        <v>39751</v>
      </c>
      <c r="AA5" s="527" t="s">
        <v>833</v>
      </c>
      <c r="AB5" s="532" t="s">
        <v>847</v>
      </c>
    </row>
    <row r="6" spans="1:28" ht="76.5">
      <c r="A6" s="380"/>
      <c r="B6" s="120">
        <f>+Dati!D7</f>
        <v>5</v>
      </c>
      <c r="C6" s="121" t="str">
        <f>+Dati!F7</f>
        <v>Comunità Montana del Gargano</v>
      </c>
      <c r="D6" s="121" t="str">
        <f>+Dati!E7</f>
        <v>S.I. GARGANO</v>
      </c>
      <c r="E6" s="512" t="s">
        <v>848</v>
      </c>
      <c r="F6" s="513" t="s">
        <v>849</v>
      </c>
      <c r="G6" s="514" t="s">
        <v>850</v>
      </c>
      <c r="H6" s="510" t="s">
        <v>851</v>
      </c>
      <c r="I6" s="510" t="s">
        <v>1275</v>
      </c>
      <c r="J6" s="515" t="s">
        <v>852</v>
      </c>
      <c r="K6" s="510">
        <v>97</v>
      </c>
      <c r="L6" s="510">
        <v>73010</v>
      </c>
      <c r="M6" s="516">
        <f>+Dati!N7</f>
        <v>2303490</v>
      </c>
      <c r="N6" s="517">
        <v>485946.5</v>
      </c>
      <c r="O6" s="518">
        <v>37988</v>
      </c>
      <c r="P6" s="519">
        <f>36+6</f>
        <v>42</v>
      </c>
      <c r="Q6" s="520">
        <f t="shared" si="0"/>
        <v>3.5</v>
      </c>
      <c r="R6" s="521">
        <f t="shared" si="1"/>
        <v>39265.5</v>
      </c>
      <c r="S6" s="522" t="s">
        <v>831</v>
      </c>
      <c r="T6" s="529">
        <v>747610</v>
      </c>
      <c r="U6" s="529">
        <v>1211</v>
      </c>
      <c r="V6" s="530" t="s">
        <v>853</v>
      </c>
      <c r="W6" s="525"/>
      <c r="X6" s="525"/>
      <c r="Y6" s="525"/>
      <c r="Z6" s="531">
        <v>39708</v>
      </c>
      <c r="AA6" s="527" t="s">
        <v>833</v>
      </c>
      <c r="AB6" s="532" t="s">
        <v>854</v>
      </c>
    </row>
    <row r="7" spans="1:27" ht="41.25" customHeight="1">
      <c r="A7" s="120"/>
      <c r="B7" s="120">
        <f>+Dati!D8</f>
        <v>6</v>
      </c>
      <c r="C7" s="121" t="str">
        <f>+Dati!F8</f>
        <v>Lucera</v>
      </c>
      <c r="D7" s="121" t="str">
        <f>+Dati!E8</f>
        <v>So.SI.A</v>
      </c>
      <c r="E7" s="535" t="s">
        <v>855</v>
      </c>
      <c r="F7" s="536" t="s">
        <v>856</v>
      </c>
      <c r="G7" s="537" t="s">
        <v>857</v>
      </c>
      <c r="H7" s="533" t="s">
        <v>1222</v>
      </c>
      <c r="I7" s="533" t="s">
        <v>1275</v>
      </c>
      <c r="J7" s="538" t="s">
        <v>858</v>
      </c>
      <c r="K7" s="533">
        <v>31</v>
      </c>
      <c r="L7" s="533">
        <v>73100</v>
      </c>
      <c r="M7" s="516">
        <f>+Dati!N8</f>
        <v>422663.2</v>
      </c>
      <c r="N7" s="540">
        <v>808500</v>
      </c>
      <c r="O7" s="541">
        <v>38559</v>
      </c>
      <c r="P7" s="542">
        <f>12+4+6+5</f>
        <v>27</v>
      </c>
      <c r="Q7" s="543">
        <f t="shared" si="0"/>
        <v>2.25</v>
      </c>
      <c r="R7" s="544">
        <f t="shared" si="1"/>
        <v>39380.25</v>
      </c>
      <c r="S7" s="545" t="s">
        <v>831</v>
      </c>
      <c r="T7" s="546">
        <v>1617000</v>
      </c>
      <c r="U7" s="529">
        <f>1211+(((1617000-1549371)*(1435-1211))/(2000000-1549371))</f>
        <v>1244.6172239247808</v>
      </c>
      <c r="V7" s="547" t="s">
        <v>859</v>
      </c>
      <c r="W7" s="548" t="s">
        <v>860</v>
      </c>
      <c r="X7" s="548" t="s">
        <v>861</v>
      </c>
      <c r="Y7" s="549" t="s">
        <v>862</v>
      </c>
      <c r="Z7" s="550">
        <v>39793</v>
      </c>
      <c r="AA7" s="551"/>
    </row>
    <row r="8" spans="1:27" ht="57" customHeight="1">
      <c r="A8" s="120"/>
      <c r="B8" s="120">
        <f>+Dati!D9</f>
        <v>7</v>
      </c>
      <c r="C8" s="121" t="str">
        <f>+Dati!F9</f>
        <v>Carlantino</v>
      </c>
      <c r="D8" s="121" t="str">
        <f>+Dati!E9</f>
        <v>DauniaValley</v>
      </c>
      <c r="E8" s="535" t="s">
        <v>863</v>
      </c>
      <c r="F8" s="552" t="s">
        <v>864</v>
      </c>
      <c r="G8" s="537" t="s">
        <v>865</v>
      </c>
      <c r="H8" s="533" t="s">
        <v>866</v>
      </c>
      <c r="I8" s="533" t="s">
        <v>15</v>
      </c>
      <c r="J8" s="538" t="s">
        <v>867</v>
      </c>
      <c r="K8" s="533">
        <v>50</v>
      </c>
      <c r="L8" s="533">
        <v>70022</v>
      </c>
      <c r="M8" s="516">
        <f>+Dati!N9</f>
        <v>2489793.02</v>
      </c>
      <c r="N8" s="540">
        <v>152672</v>
      </c>
      <c r="O8" s="553">
        <v>38293</v>
      </c>
      <c r="P8" s="542">
        <f>30+6</f>
        <v>36</v>
      </c>
      <c r="Q8" s="543">
        <f t="shared" si="0"/>
        <v>3</v>
      </c>
      <c r="R8" s="544">
        <f t="shared" si="1"/>
        <v>39388</v>
      </c>
      <c r="S8" s="545" t="s">
        <v>831</v>
      </c>
      <c r="T8" s="546"/>
      <c r="U8" s="546"/>
      <c r="V8" s="547" t="s">
        <v>868</v>
      </c>
      <c r="W8" s="554"/>
      <c r="X8" s="554"/>
      <c r="Y8" s="554"/>
      <c r="Z8" s="555"/>
      <c r="AA8" s="551"/>
    </row>
    <row r="9" spans="1:27" ht="67.5">
      <c r="A9" s="120"/>
      <c r="B9" s="120">
        <f>+Dati!D10</f>
        <v>8</v>
      </c>
      <c r="C9" s="121" t="str">
        <f>+Dati!F10</f>
        <v>Bari</v>
      </c>
      <c r="D9" s="121" t="str">
        <f>+Dati!E10</f>
        <v>Memoria è-e Conoscenza</v>
      </c>
      <c r="E9" s="535" t="s">
        <v>871</v>
      </c>
      <c r="F9" s="536" t="s">
        <v>872</v>
      </c>
      <c r="G9" s="537" t="s">
        <v>873</v>
      </c>
      <c r="H9" s="533" t="s">
        <v>874</v>
      </c>
      <c r="I9" s="533" t="s">
        <v>15</v>
      </c>
      <c r="J9" s="538" t="s">
        <v>875</v>
      </c>
      <c r="K9" s="533">
        <v>2</v>
      </c>
      <c r="L9" s="533">
        <v>70017</v>
      </c>
      <c r="M9" s="516">
        <f>+Dati!N10</f>
        <v>2350000</v>
      </c>
      <c r="N9" s="540">
        <v>659061</v>
      </c>
      <c r="O9" s="541">
        <v>38139</v>
      </c>
      <c r="P9" s="542">
        <f>36+6</f>
        <v>42</v>
      </c>
      <c r="Q9" s="543">
        <f t="shared" si="0"/>
        <v>3.5</v>
      </c>
      <c r="R9" s="544">
        <f t="shared" si="1"/>
        <v>39416.5</v>
      </c>
      <c r="S9" s="545" t="s">
        <v>831</v>
      </c>
      <c r="T9" s="546"/>
      <c r="U9" s="546"/>
      <c r="V9" s="547" t="s">
        <v>876</v>
      </c>
      <c r="W9" s="554"/>
      <c r="X9" s="554"/>
      <c r="Y9" s="554"/>
      <c r="Z9" s="555"/>
      <c r="AA9" s="551"/>
    </row>
    <row r="10" spans="1:27" ht="45" customHeight="1">
      <c r="A10" s="120"/>
      <c r="B10" s="120">
        <f>+Dati!D11</f>
        <v>9</v>
      </c>
      <c r="C10" s="121" t="str">
        <f>+Dati!F11</f>
        <v>Martina Franca</v>
      </c>
      <c r="D10" s="121" t="str">
        <f>+Dati!E11</f>
        <v>ITRIA2NET</v>
      </c>
      <c r="E10" s="512" t="s">
        <v>877</v>
      </c>
      <c r="F10" s="513" t="s">
        <v>878</v>
      </c>
      <c r="G10" s="514" t="s">
        <v>879</v>
      </c>
      <c r="H10" s="510" t="s">
        <v>1184</v>
      </c>
      <c r="I10" s="510" t="s">
        <v>15</v>
      </c>
      <c r="J10" s="515" t="s">
        <v>880</v>
      </c>
      <c r="K10" s="510">
        <v>22</v>
      </c>
      <c r="L10" s="510">
        <v>70124</v>
      </c>
      <c r="M10" s="516">
        <f>+Dati!N11</f>
        <v>1394602.42</v>
      </c>
      <c r="N10" s="517">
        <v>2500000</v>
      </c>
      <c r="O10" s="518">
        <v>38117</v>
      </c>
      <c r="P10" s="519">
        <f>36+6+0.73</f>
        <v>42.73</v>
      </c>
      <c r="Q10" s="520">
        <f t="shared" si="0"/>
        <v>3.560833333333333</v>
      </c>
      <c r="R10" s="521">
        <f t="shared" si="1"/>
        <v>39416.70416666667</v>
      </c>
      <c r="S10" s="522" t="s">
        <v>831</v>
      </c>
      <c r="T10" s="523"/>
      <c r="U10" s="523"/>
      <c r="V10" s="556" t="s">
        <v>881</v>
      </c>
      <c r="W10" s="556" t="s">
        <v>882</v>
      </c>
      <c r="X10" s="556" t="s">
        <v>861</v>
      </c>
      <c r="Y10" s="557">
        <v>39765</v>
      </c>
      <c r="Z10" s="557">
        <v>39779</v>
      </c>
      <c r="AA10" s="558"/>
    </row>
    <row r="11" spans="1:27" ht="42" customHeight="1">
      <c r="A11" s="120"/>
      <c r="B11" s="120">
        <f>+Dati!D12</f>
        <v>10</v>
      </c>
      <c r="C11" s="121" t="str">
        <f>+Dati!F12</f>
        <v>Taranto</v>
      </c>
      <c r="D11" s="121" t="str">
        <f>+Dati!E12</f>
        <v>CON.TE.S.T.</v>
      </c>
      <c r="E11" s="512" t="s">
        <v>883</v>
      </c>
      <c r="F11" s="513" t="s">
        <v>884</v>
      </c>
      <c r="G11" s="514" t="s">
        <v>885</v>
      </c>
      <c r="H11" s="510" t="s">
        <v>1234</v>
      </c>
      <c r="I11" s="510" t="s">
        <v>17</v>
      </c>
      <c r="J11" s="515" t="s">
        <v>886</v>
      </c>
      <c r="K11" s="510">
        <v>93</v>
      </c>
      <c r="L11" s="510">
        <v>71100</v>
      </c>
      <c r="M11" s="516">
        <f>+Dati!N12</f>
        <v>1475843.7</v>
      </c>
      <c r="N11" s="517">
        <v>408176.6</v>
      </c>
      <c r="O11" s="518">
        <v>38961</v>
      </c>
      <c r="P11" s="519">
        <v>15</v>
      </c>
      <c r="Q11" s="520">
        <f t="shared" si="0"/>
        <v>1.25</v>
      </c>
      <c r="R11" s="521">
        <f t="shared" si="1"/>
        <v>39417.25</v>
      </c>
      <c r="S11" s="522" t="s">
        <v>831</v>
      </c>
      <c r="T11" s="529">
        <v>627964</v>
      </c>
      <c r="U11" s="529">
        <v>1211</v>
      </c>
      <c r="V11" s="556" t="s">
        <v>887</v>
      </c>
      <c r="W11" s="559"/>
      <c r="X11" s="560" t="s">
        <v>861</v>
      </c>
      <c r="Y11" s="557">
        <v>39742</v>
      </c>
      <c r="Z11" s="557" t="s">
        <v>888</v>
      </c>
      <c r="AA11" s="558"/>
    </row>
    <row r="12" spans="1:27" ht="63.75">
      <c r="A12" s="120"/>
      <c r="B12" s="120">
        <f>+Dati!D13</f>
        <v>11</v>
      </c>
      <c r="C12" s="121" t="str">
        <f>+Dati!F13</f>
        <v>Foggia</v>
      </c>
      <c r="D12" s="121" t="str">
        <f>+Dati!E13</f>
        <v>F.A.R.O</v>
      </c>
      <c r="E12" s="512" t="s">
        <v>889</v>
      </c>
      <c r="F12" s="513" t="s">
        <v>890</v>
      </c>
      <c r="G12" s="514" t="s">
        <v>891</v>
      </c>
      <c r="H12" s="510" t="s">
        <v>1184</v>
      </c>
      <c r="I12" s="510" t="s">
        <v>15</v>
      </c>
      <c r="J12" s="515" t="s">
        <v>892</v>
      </c>
      <c r="K12" s="510" t="s">
        <v>893</v>
      </c>
      <c r="L12" s="510">
        <v>70124</v>
      </c>
      <c r="M12" s="516">
        <f>+Dati!N13</f>
        <v>1278000</v>
      </c>
      <c r="N12" s="517">
        <v>1456278.72</v>
      </c>
      <c r="O12" s="518">
        <v>38077</v>
      </c>
      <c r="P12" s="519">
        <f>36+6+3</f>
        <v>45</v>
      </c>
      <c r="Q12" s="520">
        <f t="shared" si="0"/>
        <v>3.75</v>
      </c>
      <c r="R12" s="521">
        <f t="shared" si="1"/>
        <v>39445.75</v>
      </c>
      <c r="S12" s="522" t="s">
        <v>831</v>
      </c>
      <c r="T12" s="529">
        <v>2240428.8</v>
      </c>
      <c r="U12" s="529">
        <f>1435+(2240428.8-2000000)*(1880-1435)/(3000000-2000000)</f>
        <v>1541.990816</v>
      </c>
      <c r="V12" s="556" t="s">
        <v>894</v>
      </c>
      <c r="W12" s="560" t="s">
        <v>895</v>
      </c>
      <c r="X12" s="560" t="s">
        <v>861</v>
      </c>
      <c r="Y12" s="557">
        <v>39756</v>
      </c>
      <c r="Z12" s="557">
        <v>39769</v>
      </c>
      <c r="AA12" s="527" t="s">
        <v>833</v>
      </c>
    </row>
    <row r="13" spans="1:27" ht="67.5">
      <c r="A13" s="120"/>
      <c r="B13" s="120">
        <f>+Dati!D14</f>
        <v>12</v>
      </c>
      <c r="C13" s="121" t="str">
        <f>+Dati!F14</f>
        <v>San Ferdinando di Puglia</v>
      </c>
      <c r="D13" s="121" t="str">
        <f>+Dati!E14</f>
        <v>I.D.A</v>
      </c>
      <c r="E13" s="535" t="s">
        <v>896</v>
      </c>
      <c r="F13" s="536" t="s">
        <v>897</v>
      </c>
      <c r="G13" s="537" t="s">
        <v>898</v>
      </c>
      <c r="H13" s="533" t="s">
        <v>1184</v>
      </c>
      <c r="I13" s="533" t="s">
        <v>15</v>
      </c>
      <c r="J13" s="538" t="s">
        <v>899</v>
      </c>
      <c r="K13" s="561" t="s">
        <v>900</v>
      </c>
      <c r="L13" s="533">
        <v>70121</v>
      </c>
      <c r="M13" s="516">
        <f>+Dati!N14</f>
        <v>2500000</v>
      </c>
      <c r="N13" s="540">
        <v>2500000</v>
      </c>
      <c r="O13" s="541">
        <v>37935</v>
      </c>
      <c r="P13" s="542">
        <f>36+6+6+2</f>
        <v>50</v>
      </c>
      <c r="Q13" s="543">
        <f t="shared" si="0"/>
        <v>4.166666666666667</v>
      </c>
      <c r="R13" s="544">
        <f t="shared" si="1"/>
        <v>39455.833333333336</v>
      </c>
      <c r="S13" s="545" t="s">
        <v>831</v>
      </c>
      <c r="T13" s="546">
        <v>4066340</v>
      </c>
      <c r="U13" s="562">
        <f>2276+(4066340-4000000)*(2640-2276)/(5000000-4000000)</f>
        <v>2300.14776</v>
      </c>
      <c r="V13" s="547" t="s">
        <v>901</v>
      </c>
      <c r="W13" s="548" t="s">
        <v>902</v>
      </c>
      <c r="X13" s="548" t="s">
        <v>861</v>
      </c>
      <c r="Y13" s="548"/>
      <c r="Z13" s="563"/>
      <c r="AA13" s="551"/>
    </row>
    <row r="14" spans="1:27" ht="51">
      <c r="A14" s="120"/>
      <c r="B14" s="120">
        <f>+Dati!D15</f>
        <v>13</v>
      </c>
      <c r="C14" s="121" t="str">
        <f>+Dati!F15</f>
        <v>Maglie</v>
      </c>
      <c r="D14" s="121" t="str">
        <f>+Dati!E15</f>
        <v>MOS@IC</v>
      </c>
      <c r="E14" s="512" t="s">
        <v>903</v>
      </c>
      <c r="F14" s="513" t="s">
        <v>904</v>
      </c>
      <c r="G14" s="514" t="s">
        <v>905</v>
      </c>
      <c r="H14" s="510" t="s">
        <v>1184</v>
      </c>
      <c r="I14" s="510" t="s">
        <v>15</v>
      </c>
      <c r="J14" s="515" t="s">
        <v>906</v>
      </c>
      <c r="K14" s="510" t="s">
        <v>907</v>
      </c>
      <c r="L14" s="510">
        <v>70126</v>
      </c>
      <c r="M14" s="516">
        <f>+Dati!N15</f>
        <v>1817840</v>
      </c>
      <c r="N14" s="517">
        <v>332966.4</v>
      </c>
      <c r="O14" s="518">
        <v>38387</v>
      </c>
      <c r="P14" s="519">
        <f>30+6</f>
        <v>36</v>
      </c>
      <c r="Q14" s="520">
        <f t="shared" si="0"/>
        <v>3</v>
      </c>
      <c r="R14" s="521">
        <f t="shared" si="1"/>
        <v>39482</v>
      </c>
      <c r="S14" s="522" t="s">
        <v>831</v>
      </c>
      <c r="T14" s="529">
        <v>512256</v>
      </c>
      <c r="U14" s="529">
        <v>1211</v>
      </c>
      <c r="V14" s="530" t="s">
        <v>908</v>
      </c>
      <c r="W14" s="560" t="s">
        <v>909</v>
      </c>
      <c r="X14" s="560" t="s">
        <v>910</v>
      </c>
      <c r="Y14" s="557">
        <v>39758</v>
      </c>
      <c r="Z14" s="557">
        <v>39793</v>
      </c>
      <c r="AA14" s="527" t="s">
        <v>833</v>
      </c>
    </row>
    <row r="15" spans="1:27" ht="45" customHeight="1">
      <c r="A15" s="120"/>
      <c r="B15" s="120">
        <f>+Dati!D16</f>
        <v>14</v>
      </c>
      <c r="C15" s="121" t="str">
        <f>+Dati!F16</f>
        <v>Gallipoli</v>
      </c>
      <c r="D15" s="121" t="str">
        <f>+Dati!E16</f>
        <v>S.I.T.I.</v>
      </c>
      <c r="E15" s="512" t="s">
        <v>911</v>
      </c>
      <c r="F15" s="513" t="s">
        <v>912</v>
      </c>
      <c r="G15" s="514" t="s">
        <v>913</v>
      </c>
      <c r="H15" s="510" t="s">
        <v>1184</v>
      </c>
      <c r="I15" s="510" t="s">
        <v>15</v>
      </c>
      <c r="J15" s="515" t="s">
        <v>914</v>
      </c>
      <c r="K15" s="510">
        <v>184</v>
      </c>
      <c r="L15" s="510">
        <v>70126</v>
      </c>
      <c r="M15" s="516">
        <f>+Dati!N16</f>
        <v>1622411</v>
      </c>
      <c r="N15" s="517">
        <v>2476565</v>
      </c>
      <c r="O15" s="518">
        <v>38047</v>
      </c>
      <c r="P15" s="519">
        <f>42+6</f>
        <v>48</v>
      </c>
      <c r="Q15" s="520">
        <f t="shared" si="0"/>
        <v>4</v>
      </c>
      <c r="R15" s="521">
        <f t="shared" si="1"/>
        <v>39507</v>
      </c>
      <c r="S15" s="522" t="s">
        <v>831</v>
      </c>
      <c r="T15" s="523">
        <v>3810100</v>
      </c>
      <c r="U15" s="529">
        <f>1880+(3810100-3000000)*(2276-1880)/(4000000-3000000)</f>
        <v>2200.7996</v>
      </c>
      <c r="V15" s="556" t="s">
        <v>915</v>
      </c>
      <c r="W15" s="560" t="s">
        <v>916</v>
      </c>
      <c r="X15" s="560" t="s">
        <v>917</v>
      </c>
      <c r="Y15" s="557">
        <v>39776</v>
      </c>
      <c r="Z15" s="557">
        <v>39793</v>
      </c>
      <c r="AA15" s="558"/>
    </row>
    <row r="16" spans="1:27" ht="63.75">
      <c r="A16" s="120"/>
      <c r="B16" s="120">
        <f>+Dati!D17</f>
        <v>15</v>
      </c>
      <c r="C16" s="121" t="str">
        <f>+Dati!F17</f>
        <v>Casarano</v>
      </c>
      <c r="D16" s="121" t="str">
        <f>+Dati!E17</f>
        <v>SAL.GO.</v>
      </c>
      <c r="E16" s="512" t="s">
        <v>918</v>
      </c>
      <c r="F16" s="513" t="s">
        <v>919</v>
      </c>
      <c r="G16" s="514" t="s">
        <v>920</v>
      </c>
      <c r="H16" s="510" t="s">
        <v>1184</v>
      </c>
      <c r="I16" s="510" t="s">
        <v>15</v>
      </c>
      <c r="J16" s="515" t="s">
        <v>921</v>
      </c>
      <c r="K16" s="564" t="s">
        <v>922</v>
      </c>
      <c r="L16" s="510">
        <v>70125</v>
      </c>
      <c r="M16" s="516">
        <f>+Dati!N17</f>
        <v>1814711.22</v>
      </c>
      <c r="N16" s="517">
        <v>2500000</v>
      </c>
      <c r="O16" s="518">
        <v>38231</v>
      </c>
      <c r="P16" s="519">
        <v>44</v>
      </c>
      <c r="Q16" s="520">
        <v>3.6666666666666665</v>
      </c>
      <c r="R16" s="521">
        <v>39569.333333333336</v>
      </c>
      <c r="S16" s="522" t="s">
        <v>831</v>
      </c>
      <c r="T16" s="529">
        <v>4072757.4</v>
      </c>
      <c r="U16" s="529">
        <f>2276+(4072757.4-4000000)*(2640-2276)/(5000000-4000000)</f>
        <v>2302.4836936</v>
      </c>
      <c r="V16" s="556" t="s">
        <v>923</v>
      </c>
      <c r="W16" s="560" t="s">
        <v>924</v>
      </c>
      <c r="X16" s="560" t="s">
        <v>925</v>
      </c>
      <c r="Y16" s="557" t="s">
        <v>926</v>
      </c>
      <c r="Z16" s="565"/>
      <c r="AA16" s="558"/>
    </row>
    <row r="17" spans="1:27" ht="41.25" customHeight="1">
      <c r="A17" s="120"/>
      <c r="B17" s="120">
        <f>+Dati!D18</f>
        <v>16</v>
      </c>
      <c r="C17" s="121" t="str">
        <f>+Dati!F18</f>
        <v>Lecce</v>
      </c>
      <c r="D17" s="121" t="str">
        <f>+Dati!E18</f>
        <v>ITER-Net - SISTEMA SALENTO NELLA S.I.</v>
      </c>
      <c r="E17" s="512" t="s">
        <v>927</v>
      </c>
      <c r="F17" s="513" t="s">
        <v>928</v>
      </c>
      <c r="G17" s="514" t="s">
        <v>929</v>
      </c>
      <c r="H17" s="510" t="s">
        <v>1184</v>
      </c>
      <c r="I17" s="510" t="s">
        <v>15</v>
      </c>
      <c r="J17" s="515" t="s">
        <v>930</v>
      </c>
      <c r="K17" s="566">
        <v>253</v>
      </c>
      <c r="L17" s="510">
        <v>70123</v>
      </c>
      <c r="M17" s="516">
        <f>+Dati!N18</f>
        <v>2500000</v>
      </c>
      <c r="N17" s="517">
        <v>561233.4</v>
      </c>
      <c r="O17" s="518">
        <v>38231</v>
      </c>
      <c r="P17" s="519">
        <f>30+6+9</f>
        <v>45</v>
      </c>
      <c r="Q17" s="520">
        <f aca="true" t="shared" si="2" ref="Q17:Q25">P17/12</f>
        <v>3.75</v>
      </c>
      <c r="R17" s="521">
        <f>O17+(P17*365/12)</f>
        <v>39599.75</v>
      </c>
      <c r="S17" s="522" t="s">
        <v>831</v>
      </c>
      <c r="T17" s="523"/>
      <c r="U17" s="529">
        <v>1211</v>
      </c>
      <c r="V17" s="556" t="s">
        <v>931</v>
      </c>
      <c r="W17" s="556" t="s">
        <v>932</v>
      </c>
      <c r="X17" s="560" t="s">
        <v>861</v>
      </c>
      <c r="Y17" s="557">
        <v>39772</v>
      </c>
      <c r="Z17" s="557">
        <v>39784</v>
      </c>
      <c r="AA17" s="558"/>
    </row>
    <row r="18" spans="1:27" ht="42" customHeight="1">
      <c r="A18" s="108"/>
      <c r="B18" s="120">
        <f>+Dati!D19</f>
        <v>17</v>
      </c>
      <c r="C18" s="121" t="str">
        <f>+Dati!F19</f>
        <v>Manduria???</v>
      </c>
      <c r="D18" s="121" t="str">
        <f>+Dati!E19</f>
        <v>CITTADINI E P.A.</v>
      </c>
      <c r="E18" s="512" t="s">
        <v>933</v>
      </c>
      <c r="F18" s="513" t="s">
        <v>878</v>
      </c>
      <c r="G18" s="514" t="s">
        <v>934</v>
      </c>
      <c r="H18" s="510" t="s">
        <v>1184</v>
      </c>
      <c r="I18" s="510" t="s">
        <v>15</v>
      </c>
      <c r="J18" s="515" t="s">
        <v>880</v>
      </c>
      <c r="K18" s="510">
        <v>22</v>
      </c>
      <c r="L18" s="510">
        <v>70100</v>
      </c>
      <c r="M18" s="516">
        <f>+Dati!N19</f>
        <v>637500</v>
      </c>
      <c r="N18" s="517">
        <v>1262690</v>
      </c>
      <c r="O18" s="518">
        <v>38289</v>
      </c>
      <c r="P18" s="519">
        <f>30+6+5+3</f>
        <v>44</v>
      </c>
      <c r="Q18" s="520">
        <f t="shared" si="2"/>
        <v>3.6666666666666665</v>
      </c>
      <c r="R18" s="521">
        <f>O18+(P18*365/12)</f>
        <v>39627.333333333336</v>
      </c>
      <c r="S18" s="522" t="s">
        <v>831</v>
      </c>
      <c r="T18" s="523">
        <f>+M18</f>
        <v>637500</v>
      </c>
      <c r="U18" s="529">
        <f>1211+(((1942600-1549371)*(1435-1211))/(2000000-1549371))</f>
        <v>1406.4674377370297</v>
      </c>
      <c r="V18" s="556" t="s">
        <v>935</v>
      </c>
      <c r="W18" s="556" t="s">
        <v>936</v>
      </c>
      <c r="X18" s="560" t="s">
        <v>925</v>
      </c>
      <c r="Y18" s="557">
        <v>39772</v>
      </c>
      <c r="Z18" s="557">
        <v>39826</v>
      </c>
      <c r="AA18" s="558"/>
    </row>
    <row r="19" spans="1:27" ht="51">
      <c r="A19" s="120"/>
      <c r="B19" s="120">
        <f>+Dati!D20</f>
        <v>18</v>
      </c>
      <c r="C19" s="121" t="str">
        <f>+Dati!F20</f>
        <v>Fasano</v>
      </c>
      <c r="D19" s="121" t="str">
        <f>+Dati!E20</f>
        <v>PORTALE TERRITORIALE INTERCOMUNALE</v>
      </c>
      <c r="E19" s="512" t="s">
        <v>937</v>
      </c>
      <c r="F19" s="513" t="s">
        <v>938</v>
      </c>
      <c r="G19" s="514" t="s">
        <v>939</v>
      </c>
      <c r="H19" s="510" t="s">
        <v>1184</v>
      </c>
      <c r="I19" s="510" t="s">
        <v>15</v>
      </c>
      <c r="J19" s="515" t="s">
        <v>940</v>
      </c>
      <c r="K19" s="510">
        <v>4</v>
      </c>
      <c r="L19" s="510">
        <v>70124</v>
      </c>
      <c r="M19" s="516">
        <f>+Dati!N20</f>
        <v>638220</v>
      </c>
      <c r="N19" s="517">
        <v>1834026.48</v>
      </c>
      <c r="O19" s="518">
        <v>38293</v>
      </c>
      <c r="P19" s="519">
        <f>36+5+3</f>
        <v>44</v>
      </c>
      <c r="Q19" s="520">
        <f t="shared" si="2"/>
        <v>3.6666666666666665</v>
      </c>
      <c r="R19" s="521">
        <f>O19+(P19*365/12)-2</f>
        <v>39629.333333333336</v>
      </c>
      <c r="S19" s="522" t="s">
        <v>831</v>
      </c>
      <c r="T19" s="529">
        <v>2821579.2</v>
      </c>
      <c r="U19" s="529">
        <f>1435+(2821579.2-2000000)*(1880-1435)/(3000000-2000000)</f>
        <v>1800.602744</v>
      </c>
      <c r="V19" s="556" t="s">
        <v>941</v>
      </c>
      <c r="W19" s="556" t="s">
        <v>942</v>
      </c>
      <c r="X19" s="560" t="s">
        <v>925</v>
      </c>
      <c r="Y19" s="557">
        <v>39770</v>
      </c>
      <c r="Z19" s="557">
        <v>39797</v>
      </c>
      <c r="AA19" s="558"/>
    </row>
    <row r="20" spans="1:27" ht="55.5" customHeight="1">
      <c r="A20" s="533">
        <v>4</v>
      </c>
      <c r="B20" s="534">
        <v>9</v>
      </c>
      <c r="C20" s="535" t="s">
        <v>943</v>
      </c>
      <c r="D20" s="535" t="s">
        <v>944</v>
      </c>
      <c r="E20" s="535" t="s">
        <v>945</v>
      </c>
      <c r="F20" s="536" t="s">
        <v>946</v>
      </c>
      <c r="G20" s="537" t="s">
        <v>947</v>
      </c>
      <c r="H20" s="533" t="s">
        <v>1184</v>
      </c>
      <c r="I20" s="533" t="s">
        <v>15</v>
      </c>
      <c r="J20" s="538" t="s">
        <v>948</v>
      </c>
      <c r="K20" s="533" t="s">
        <v>949</v>
      </c>
      <c r="L20" s="533">
        <v>70123</v>
      </c>
      <c r="M20" s="539">
        <v>2009142.4</v>
      </c>
      <c r="N20" s="540">
        <v>1305942.56</v>
      </c>
      <c r="O20" s="541">
        <v>38201</v>
      </c>
      <c r="P20" s="542">
        <f>42+5</f>
        <v>47</v>
      </c>
      <c r="Q20" s="543">
        <f t="shared" si="2"/>
        <v>3.9166666666666665</v>
      </c>
      <c r="R20" s="544">
        <f aca="true" t="shared" si="3" ref="R20:R25">O20+(P20*365/12)</f>
        <v>39630.583333333336</v>
      </c>
      <c r="S20" s="545"/>
      <c r="T20" s="546">
        <v>2009142.4</v>
      </c>
      <c r="U20" s="529">
        <f>1435+(2009142.4-2000000)*(1880-1435)/(3000000-2000000)</f>
        <v>1439.068368</v>
      </c>
      <c r="V20" s="547" t="s">
        <v>950</v>
      </c>
      <c r="W20" s="554"/>
      <c r="X20" s="554"/>
      <c r="Y20" s="554"/>
      <c r="Z20" s="555"/>
      <c r="AA20" s="551"/>
    </row>
    <row r="21" spans="1:27" ht="57" customHeight="1">
      <c r="A21" s="533">
        <v>3</v>
      </c>
      <c r="B21" s="534">
        <v>8</v>
      </c>
      <c r="C21" s="535" t="s">
        <v>951</v>
      </c>
      <c r="D21" s="535" t="s">
        <v>952</v>
      </c>
      <c r="E21" s="535" t="s">
        <v>953</v>
      </c>
      <c r="F21" s="536" t="s">
        <v>954</v>
      </c>
      <c r="G21" s="537" t="s">
        <v>955</v>
      </c>
      <c r="H21" s="533" t="s">
        <v>1184</v>
      </c>
      <c r="I21" s="533" t="s">
        <v>15</v>
      </c>
      <c r="J21" s="538" t="s">
        <v>956</v>
      </c>
      <c r="K21" s="533">
        <v>228</v>
      </c>
      <c r="L21" s="567" t="s">
        <v>957</v>
      </c>
      <c r="M21" s="539">
        <v>2851600</v>
      </c>
      <c r="N21" s="540">
        <v>1825024</v>
      </c>
      <c r="O21" s="541">
        <v>38330</v>
      </c>
      <c r="P21" s="542">
        <f>36+6+1</f>
        <v>43</v>
      </c>
      <c r="Q21" s="543">
        <f t="shared" si="2"/>
        <v>3.5833333333333335</v>
      </c>
      <c r="R21" s="544">
        <f t="shared" si="3"/>
        <v>39637.916666666664</v>
      </c>
      <c r="S21" s="545"/>
      <c r="T21" s="546">
        <v>2851600</v>
      </c>
      <c r="U21" s="529">
        <f>1435+(((2851600-2000000)*(1880-1435))/(3000000-2000000))</f>
        <v>1813.962</v>
      </c>
      <c r="V21" s="547" t="s">
        <v>958</v>
      </c>
      <c r="W21" s="554"/>
      <c r="X21" s="554"/>
      <c r="Y21" s="554"/>
      <c r="Z21" s="555"/>
      <c r="AA21" s="551"/>
    </row>
    <row r="22" spans="1:27" ht="53.25" customHeight="1">
      <c r="A22" s="533">
        <v>9</v>
      </c>
      <c r="B22" s="534">
        <v>25</v>
      </c>
      <c r="C22" s="535" t="s">
        <v>959</v>
      </c>
      <c r="D22" s="535" t="s">
        <v>960</v>
      </c>
      <c r="E22" s="535" t="s">
        <v>961</v>
      </c>
      <c r="F22" s="536" t="s">
        <v>962</v>
      </c>
      <c r="G22" s="537" t="s">
        <v>963</v>
      </c>
      <c r="H22" s="533" t="s">
        <v>1184</v>
      </c>
      <c r="I22" s="533" t="s">
        <v>15</v>
      </c>
      <c r="J22" s="538" t="s">
        <v>964</v>
      </c>
      <c r="K22" s="533">
        <v>184</v>
      </c>
      <c r="L22" s="533">
        <v>70126</v>
      </c>
      <c r="M22" s="539">
        <v>2261279</v>
      </c>
      <c r="N22" s="540">
        <v>1469831.35</v>
      </c>
      <c r="O22" s="541">
        <v>38139</v>
      </c>
      <c r="P22" s="542">
        <f>36+6+6+2</f>
        <v>50</v>
      </c>
      <c r="Q22" s="543">
        <f t="shared" si="2"/>
        <v>4.166666666666667</v>
      </c>
      <c r="R22" s="544">
        <f t="shared" si="3"/>
        <v>39659.833333333336</v>
      </c>
      <c r="S22" s="545" t="s">
        <v>831</v>
      </c>
      <c r="T22" s="539">
        <v>2261279</v>
      </c>
      <c r="U22" s="529">
        <f>1435+(((2261279-2000000)*(1880-1435))/(3000000-2000000))</f>
        <v>1551.269155</v>
      </c>
      <c r="V22" s="547" t="s">
        <v>965</v>
      </c>
      <c r="W22" s="548" t="s">
        <v>966</v>
      </c>
      <c r="X22" s="554"/>
      <c r="Y22" s="554"/>
      <c r="Z22" s="555"/>
      <c r="AA22" s="551"/>
    </row>
    <row r="23" spans="1:27" ht="67.5">
      <c r="A23" s="533">
        <v>8</v>
      </c>
      <c r="B23" s="534">
        <v>15</v>
      </c>
      <c r="C23" s="535" t="s">
        <v>967</v>
      </c>
      <c r="D23" s="535" t="s">
        <v>968</v>
      </c>
      <c r="E23" s="535" t="s">
        <v>969</v>
      </c>
      <c r="F23" s="536" t="s">
        <v>970</v>
      </c>
      <c r="G23" s="537" t="s">
        <v>971</v>
      </c>
      <c r="H23" s="533" t="s">
        <v>1184</v>
      </c>
      <c r="I23" s="533" t="s">
        <v>15</v>
      </c>
      <c r="J23" s="538" t="s">
        <v>972</v>
      </c>
      <c r="K23" s="533">
        <v>11</v>
      </c>
      <c r="L23" s="533">
        <v>70121</v>
      </c>
      <c r="M23" s="539">
        <v>1159344</v>
      </c>
      <c r="N23" s="540">
        <v>753573.6</v>
      </c>
      <c r="O23" s="541">
        <v>37974</v>
      </c>
      <c r="P23" s="542">
        <f>36+6+9+3.44+3</f>
        <v>57.44</v>
      </c>
      <c r="Q23" s="543">
        <f t="shared" si="2"/>
        <v>4.786666666666666</v>
      </c>
      <c r="R23" s="544">
        <f t="shared" si="3"/>
        <v>39721.13333333333</v>
      </c>
      <c r="S23" s="545" t="s">
        <v>831</v>
      </c>
      <c r="T23" s="546"/>
      <c r="U23" s="546"/>
      <c r="V23" s="547" t="s">
        <v>973</v>
      </c>
      <c r="W23" s="554"/>
      <c r="X23" s="554"/>
      <c r="Y23" s="554"/>
      <c r="Z23" s="555"/>
      <c r="AA23" s="551"/>
    </row>
    <row r="24" spans="1:27" ht="54.75" customHeight="1">
      <c r="A24" s="533">
        <v>24</v>
      </c>
      <c r="B24" s="534">
        <v>50</v>
      </c>
      <c r="C24" s="535" t="s">
        <v>974</v>
      </c>
      <c r="D24" s="535" t="s">
        <v>975</v>
      </c>
      <c r="E24" s="535" t="s">
        <v>976</v>
      </c>
      <c r="F24" s="536" t="s">
        <v>977</v>
      </c>
      <c r="G24" s="537" t="s">
        <v>978</v>
      </c>
      <c r="H24" s="533" t="s">
        <v>1184</v>
      </c>
      <c r="I24" s="533" t="s">
        <v>979</v>
      </c>
      <c r="J24" s="538" t="s">
        <v>980</v>
      </c>
      <c r="K24" s="533">
        <v>33</v>
      </c>
      <c r="L24" s="533">
        <v>70122</v>
      </c>
      <c r="M24" s="539">
        <v>4409460.6</v>
      </c>
      <c r="N24" s="540">
        <v>2500000</v>
      </c>
      <c r="O24" s="541">
        <v>38141</v>
      </c>
      <c r="P24" s="542">
        <v>53.3</v>
      </c>
      <c r="Q24" s="543">
        <f t="shared" si="2"/>
        <v>4.441666666666666</v>
      </c>
      <c r="R24" s="544">
        <f t="shared" si="3"/>
        <v>39762.208333333336</v>
      </c>
      <c r="S24" s="545"/>
      <c r="T24" s="546">
        <v>4409460.6</v>
      </c>
      <c r="U24" s="529">
        <f>2276+(((4409460.6-4000000)*(2640-2276))/(5000000-4000000))</f>
        <v>2425.0436584</v>
      </c>
      <c r="V24" s="547" t="s">
        <v>981</v>
      </c>
      <c r="W24" s="554"/>
      <c r="X24" s="554"/>
      <c r="Y24" s="554"/>
      <c r="Z24" s="555"/>
      <c r="AA24" s="551"/>
    </row>
    <row r="25" spans="1:27" ht="55.5" customHeight="1">
      <c r="A25" s="510">
        <v>14</v>
      </c>
      <c r="B25" s="511">
        <v>30</v>
      </c>
      <c r="C25" s="512" t="s">
        <v>982</v>
      </c>
      <c r="D25" s="512" t="s">
        <v>983</v>
      </c>
      <c r="E25" s="512" t="s">
        <v>984</v>
      </c>
      <c r="F25" s="513" t="s">
        <v>985</v>
      </c>
      <c r="G25" s="514" t="s">
        <v>986</v>
      </c>
      <c r="H25" s="510" t="s">
        <v>1184</v>
      </c>
      <c r="I25" s="510" t="s">
        <v>15</v>
      </c>
      <c r="J25" s="515" t="s">
        <v>987</v>
      </c>
      <c r="K25" s="510">
        <v>86</v>
      </c>
      <c r="L25" s="510">
        <v>70124</v>
      </c>
      <c r="M25" s="516">
        <v>2500230.8</v>
      </c>
      <c r="N25" s="517">
        <v>1625150.02</v>
      </c>
      <c r="O25" s="518">
        <v>38316</v>
      </c>
      <c r="P25" s="519">
        <f>36+7+3.2</f>
        <v>46.2</v>
      </c>
      <c r="Q25" s="520">
        <f t="shared" si="2"/>
        <v>3.85</v>
      </c>
      <c r="R25" s="521">
        <f t="shared" si="3"/>
        <v>39721.25</v>
      </c>
      <c r="S25" s="522" t="s">
        <v>831</v>
      </c>
      <c r="T25" s="529">
        <v>2500230.8</v>
      </c>
      <c r="U25" s="529">
        <f>1435+(2500230.8-2000000)*(1880-1435)/(3000000-2000000)</f>
        <v>1657.602706</v>
      </c>
      <c r="V25" s="556" t="s">
        <v>988</v>
      </c>
      <c r="W25" s="525"/>
      <c r="X25" s="525"/>
      <c r="Y25" s="525"/>
      <c r="Z25" s="524"/>
      <c r="AA25" s="558"/>
    </row>
    <row r="26" spans="1:27" ht="12.75">
      <c r="A26" s="568"/>
      <c r="B26" s="569"/>
      <c r="C26" s="568" t="s">
        <v>780</v>
      </c>
      <c r="D26" s="570"/>
      <c r="E26" s="570"/>
      <c r="F26" s="571"/>
      <c r="G26" s="572"/>
      <c r="H26" s="569"/>
      <c r="I26" s="569"/>
      <c r="J26" s="573"/>
      <c r="K26" s="569"/>
      <c r="L26" s="569"/>
      <c r="M26" s="574">
        <v>47008016.492000006</v>
      </c>
      <c r="N26" s="575">
        <v>28988439.09</v>
      </c>
      <c r="O26" s="576"/>
      <c r="P26" s="577"/>
      <c r="Q26" s="578"/>
      <c r="R26" s="578"/>
      <c r="S26" s="578"/>
      <c r="T26" s="579"/>
      <c r="U26" s="579"/>
      <c r="V26" s="554"/>
      <c r="AA26" s="551"/>
    </row>
    <row r="27" ht="12.75">
      <c r="AA27" s="551"/>
    </row>
    <row r="28" spans="3:27" ht="56.25" customHeight="1">
      <c r="C28" s="581" t="s">
        <v>1318</v>
      </c>
      <c r="D28" s="581" t="s">
        <v>989</v>
      </c>
      <c r="V28" s="547" t="s">
        <v>990</v>
      </c>
      <c r="W28" s="547" t="s">
        <v>991</v>
      </c>
      <c r="X28" s="548" t="s">
        <v>861</v>
      </c>
      <c r="AA28" s="551"/>
    </row>
    <row r="40" ht="12.75"/>
    <row r="41" ht="12.75"/>
    <row r="42" ht="12.75"/>
  </sheetData>
  <printOptions/>
  <pageMargins left="0.2" right="0.18" top="0.26" bottom="0.17" header="0.2" footer="0.18"/>
  <pageSetup fitToHeight="2" fitToWidth="1" horizontalDpi="600" verticalDpi="600" orientation="landscape" paperSize="9"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Di Giuseppe</dc:creator>
  <cp:keywords/>
  <dc:description/>
  <cp:lastModifiedBy>sciacovelli</cp:lastModifiedBy>
  <cp:lastPrinted>2009-11-05T13:56:35Z</cp:lastPrinted>
  <dcterms:created xsi:type="dcterms:W3CDTF">2003-07-17T07:58:32Z</dcterms:created>
  <dcterms:modified xsi:type="dcterms:W3CDTF">2009-11-12T14:31:34Z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