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55" tabRatio="930" activeTab="0"/>
  </bookViews>
  <sheets>
    <sheet name="TUTTI" sheetId="1" r:id="rId1"/>
    <sheet name="AMMESSI" sheetId="2" r:id="rId2"/>
    <sheet name="CUSTOS" sheetId="3" r:id="rId3"/>
    <sheet name="GENOMENA" sheetId="4" r:id="rId4"/>
    <sheet name="DEMOS" sheetId="5" r:id="rId5"/>
    <sheet name="TELESICURTRAS" sheetId="6" r:id="rId6"/>
    <sheet name="BOD" sheetId="7" r:id="rId7"/>
    <sheet name="MONICA" sheetId="8" r:id="rId8"/>
    <sheet name="SPRINTER" sheetId="9" r:id="rId9"/>
    <sheet name="TURDIP" sheetId="10" r:id="rId10"/>
    <sheet name="ITINERA" sheetId="11" r:id="rId11"/>
    <sheet name="FOVEA" sheetId="12" r:id="rId12"/>
    <sheet name="SIBECS" sheetId="13" r:id="rId13"/>
    <sheet name="SIGESMU" sheetId="14" r:id="rId14"/>
    <sheet name="CYBERPARK" sheetId="15" r:id="rId15"/>
    <sheet name="TIBE" sheetId="16" r:id="rId16"/>
    <sheet name="PROTEC" sheetId="17" r:id="rId17"/>
    <sheet name="DEMON" sheetId="18" r:id="rId18"/>
  </sheets>
  <definedNames>
    <definedName name="_xlnm._FilterDatabase" localSheetId="0" hidden="1">'TUTTI'!$A$2:$AT$40</definedName>
    <definedName name="_xlnm.Print_Area" localSheetId="1">'AMMESSI'!$A$1:$V$17</definedName>
    <definedName name="_xlnm.Print_Area" localSheetId="0">'TUTTI'!$A$2:$EE$18</definedName>
    <definedName name="_xlnm.Print_Titles" localSheetId="0">'TUTTI'!$2:$2</definedName>
  </definedNames>
  <calcPr fullCalcOnLoad="1"/>
</workbook>
</file>

<file path=xl/comments1.xml><?xml version="1.0" encoding="utf-8"?>
<comments xmlns="http://schemas.openxmlformats.org/spreadsheetml/2006/main">
  <authors>
    <author>STORELLI</author>
    <author>storelli</author>
  </authors>
  <commentList>
    <comment ref="AQ5" authorId="0">
      <text>
        <r>
          <rPr>
            <b/>
            <sz val="8"/>
            <rFont val="Tahoma"/>
            <family val="2"/>
          </rPr>
          <t>STORELLI:</t>
        </r>
        <r>
          <rPr>
            <sz val="8"/>
            <rFont val="Tahoma"/>
            <family val="2"/>
          </rPr>
          <t xml:space="preserve">
subentro GALILEO, già SCT Project Sas autorizzazione concessa 28/8/07
</t>
        </r>
      </text>
    </comment>
    <comment ref="BA17" authorId="0">
      <text>
        <r>
          <rPr>
            <b/>
            <sz val="8"/>
            <rFont val="Tahoma"/>
            <family val="2"/>
          </rPr>
          <t>STORELLI:</t>
        </r>
        <r>
          <rPr>
            <sz val="8"/>
            <rFont val="Tahoma"/>
            <family val="2"/>
          </rPr>
          <t xml:space="preserve">
già attesa errata corrige, modifica importo contributo - 20/7/07</t>
        </r>
      </text>
    </comment>
    <comment ref="BC8" authorId="0">
      <text>
        <r>
          <rPr>
            <b/>
            <sz val="8"/>
            <rFont val="Tahoma"/>
            <family val="2"/>
          </rPr>
          <t>STORELLI:</t>
        </r>
        <r>
          <rPr>
            <sz val="8"/>
            <rFont val="Tahoma"/>
            <family val="2"/>
          </rPr>
          <t xml:space="preserve">
già rimodulato da 18 mesi a 14 vedi gant prot. 4653</t>
        </r>
      </text>
    </comment>
    <comment ref="BN8" authorId="0">
      <text>
        <r>
          <rPr>
            <b/>
            <sz val="8"/>
            <rFont val="Tahoma"/>
            <family val="2"/>
          </rPr>
          <t>STORELLI:</t>
        </r>
        <r>
          <rPr>
            <sz val="8"/>
            <rFont val="Tahoma"/>
            <family val="2"/>
          </rPr>
          <t xml:space="preserve">
modificata in ragioneria: ddr 145 di concessione e ddr 52/05 di impegno.</t>
        </r>
      </text>
    </comment>
    <comment ref="BN10" authorId="0">
      <text>
        <r>
          <rPr>
            <b/>
            <sz val="8"/>
            <rFont val="Tahoma"/>
            <family val="2"/>
          </rPr>
          <t>STORELLI:</t>
        </r>
        <r>
          <rPr>
            <sz val="8"/>
            <rFont val="Tahoma"/>
            <family val="2"/>
          </rPr>
          <t xml:space="preserve">
modificata in ragioneria: ddr 147 di concessione e ddr 52/05 di impegno.</t>
        </r>
      </text>
    </comment>
    <comment ref="BN12" authorId="0">
      <text>
        <r>
          <rPr>
            <b/>
            <sz val="8"/>
            <rFont val="Tahoma"/>
            <family val="2"/>
          </rPr>
          <t>STORELLI:</t>
        </r>
        <r>
          <rPr>
            <sz val="8"/>
            <rFont val="Tahoma"/>
            <family val="2"/>
          </rPr>
          <t xml:space="preserve">
modificata in ragioneria: ddr 150 di concessione e ddr 52/05 di impegno.</t>
        </r>
      </text>
    </comment>
    <comment ref="BN17" authorId="0">
      <text>
        <r>
          <rPr>
            <b/>
            <sz val="8"/>
            <rFont val="Tahoma"/>
            <family val="2"/>
          </rPr>
          <t>STORELLI:</t>
        </r>
        <r>
          <rPr>
            <sz val="8"/>
            <rFont val="Tahoma"/>
            <family val="2"/>
          </rPr>
          <t xml:space="preserve">
modificata in ragioneria: ddr 155 di concessione e ddr 52/05 di impegno.</t>
        </r>
      </text>
    </comment>
    <comment ref="BP9" authorId="0">
      <text>
        <r>
          <rPr>
            <b/>
            <sz val="8"/>
            <rFont val="Tahoma"/>
            <family val="2"/>
          </rPr>
          <t>STORELLI:</t>
        </r>
        <r>
          <rPr>
            <sz val="8"/>
            <rFont val="Tahoma"/>
            <family val="2"/>
          </rPr>
          <t xml:space="preserve">
la rimodulazione gant su 15 mesi sarà resa disponibile con la I rendicontazione (Giannelli Luigi)</t>
        </r>
      </text>
    </comment>
    <comment ref="BF13" authorId="0">
      <text>
        <r>
          <rPr>
            <b/>
            <sz val="8"/>
            <rFont val="Tahoma"/>
            <family val="2"/>
          </rPr>
          <t>STORELLI:</t>
        </r>
        <r>
          <rPr>
            <sz val="8"/>
            <rFont val="Tahoma"/>
            <family val="2"/>
          </rPr>
          <t xml:space="preserve">
Già Banca Meridiana spa</t>
        </r>
      </text>
    </comment>
    <comment ref="BG13" authorId="0">
      <text>
        <r>
          <rPr>
            <b/>
            <sz val="8"/>
            <rFont val="Tahoma"/>
            <family val="2"/>
          </rPr>
          <t>STORELLI:</t>
        </r>
        <r>
          <rPr>
            <sz val="8"/>
            <rFont val="Tahoma"/>
            <family val="2"/>
          </rPr>
          <t xml:space="preserve">
Già Via Melo, 24 - 70121 Bari</t>
        </r>
      </text>
    </comment>
    <comment ref="BI13" authorId="0">
      <text>
        <r>
          <rPr>
            <b/>
            <sz val="8"/>
            <rFont val="Tahoma"/>
            <family val="2"/>
          </rPr>
          <t>STORELLI:</t>
        </r>
        <r>
          <rPr>
            <sz val="8"/>
            <rFont val="Tahoma"/>
            <family val="2"/>
          </rPr>
          <t xml:space="preserve">
Già 035570030941</t>
        </r>
      </text>
    </comment>
    <comment ref="BJ13" authorId="0">
      <text>
        <r>
          <rPr>
            <b/>
            <sz val="8"/>
            <rFont val="Tahoma"/>
            <family val="2"/>
          </rPr>
          <t>STORELLI:</t>
        </r>
        <r>
          <rPr>
            <sz val="8"/>
            <rFont val="Tahoma"/>
            <family val="2"/>
          </rPr>
          <t xml:space="preserve">
Già 04001 / 05787 / S</t>
        </r>
      </text>
    </comment>
    <comment ref="BC17" authorId="0">
      <text>
        <r>
          <rPr>
            <b/>
            <sz val="8"/>
            <rFont val="Tahoma"/>
            <family val="2"/>
          </rPr>
          <t>STORELLI:</t>
        </r>
        <r>
          <rPr>
            <sz val="8"/>
            <rFont val="Tahoma"/>
            <family val="2"/>
          </rPr>
          <t xml:space="preserve">
in data 30/07/2007 concessa proroga da 11 a 18 mesi</t>
        </r>
      </text>
    </comment>
    <comment ref="BE9" authorId="0">
      <text>
        <r>
          <rPr>
            <b/>
            <sz val="8"/>
            <rFont val="Tahoma"/>
            <family val="2"/>
          </rPr>
          <t>STORELLI:</t>
        </r>
        <r>
          <rPr>
            <sz val="8"/>
            <rFont val="Tahoma"/>
            <family val="2"/>
          </rPr>
          <t xml:space="preserve">
4/3/2008
richiesta proroga 4 mesi
</t>
        </r>
      </text>
    </comment>
    <comment ref="BE17" authorId="0">
      <text>
        <r>
          <rPr>
            <b/>
            <sz val="8"/>
            <rFont val="Tahoma"/>
            <family val="2"/>
          </rPr>
          <t>STORELLI:</t>
        </r>
        <r>
          <rPr>
            <sz val="8"/>
            <rFont val="Tahoma"/>
            <family val="2"/>
          </rPr>
          <t xml:space="preserve">
in data 30/07/2007 concessa proroga da 11 a 18 mesi .
Data fine passa da 29/11/2007 a 28/06/2008
In data 5/5/2008 richiesta proroga al 15/9/2008</t>
        </r>
      </text>
    </comment>
    <comment ref="BE8" authorId="0">
      <text>
        <r>
          <rPr>
            <b/>
            <sz val="8"/>
            <rFont val="Tahoma"/>
            <family val="2"/>
          </rPr>
          <t>STORELLI:</t>
        </r>
        <r>
          <rPr>
            <sz val="8"/>
            <rFont val="Tahoma"/>
            <family val="2"/>
          </rPr>
          <t xml:space="preserve">
7/3/2008
richiesta proroga 3 mesi</t>
        </r>
      </text>
    </comment>
    <comment ref="BE14" authorId="0">
      <text>
        <r>
          <rPr>
            <b/>
            <sz val="8"/>
            <rFont val="Tahoma"/>
            <family val="2"/>
          </rPr>
          <t>STORELLI:</t>
        </r>
        <r>
          <rPr>
            <sz val="8"/>
            <rFont val="Tahoma"/>
            <family val="2"/>
          </rPr>
          <t xml:space="preserve">
29/2/2008
richiesta proroga 3 mesi</t>
        </r>
      </text>
    </comment>
    <comment ref="BV18" authorId="0">
      <text>
        <r>
          <rPr>
            <b/>
            <sz val="8"/>
            <rFont val="Tahoma"/>
            <family val="2"/>
          </rPr>
          <t>STORELLI:</t>
        </r>
        <r>
          <rPr>
            <sz val="8"/>
            <rFont val="Tahoma"/>
            <family val="2"/>
          </rPr>
          <t xml:space="preserve">
26/03/2008
inviata e-mail sollecito
</t>
        </r>
        <r>
          <rPr>
            <sz val="8"/>
            <color indexed="10"/>
            <rFont val="Tahoma"/>
            <family val="2"/>
          </rPr>
          <t>28/3/2008 e-mail OK SAL tecnico</t>
        </r>
      </text>
    </comment>
    <comment ref="BE6" authorId="0">
      <text>
        <r>
          <rPr>
            <b/>
            <sz val="8"/>
            <rFont val="Tahoma"/>
            <family val="2"/>
          </rPr>
          <t>STORELLI:</t>
        </r>
        <r>
          <rPr>
            <sz val="8"/>
            <rFont val="Tahoma"/>
            <family val="2"/>
          </rPr>
          <t xml:space="preserve">
14/3/2008
richiesta proroga 3 mesi</t>
        </r>
      </text>
    </comment>
    <comment ref="BE10" authorId="0">
      <text>
        <r>
          <rPr>
            <b/>
            <sz val="8"/>
            <rFont val="Tahoma"/>
            <family val="2"/>
          </rPr>
          <t>STORELLI:</t>
        </r>
        <r>
          <rPr>
            <sz val="8"/>
            <rFont val="Tahoma"/>
            <family val="2"/>
          </rPr>
          <t xml:space="preserve">
21/3/2008
richiesta proroga 3 mesi</t>
        </r>
      </text>
    </comment>
    <comment ref="BE15" authorId="0">
      <text>
        <r>
          <rPr>
            <b/>
            <sz val="8"/>
            <rFont val="Tahoma"/>
            <family val="2"/>
          </rPr>
          <t>STORELLI:</t>
        </r>
        <r>
          <rPr>
            <sz val="8"/>
            <rFont val="Tahoma"/>
            <family val="2"/>
          </rPr>
          <t xml:space="preserve">
21/3/2008
richiesta proroga 3 mesi</t>
        </r>
      </text>
    </comment>
    <comment ref="CF9" authorId="0">
      <text>
        <r>
          <rPr>
            <b/>
            <sz val="8"/>
            <rFont val="Tahoma"/>
            <family val="2"/>
          </rPr>
          <t>STORELLI:</t>
        </r>
        <r>
          <rPr>
            <sz val="8"/>
            <rFont val="Tahoma"/>
            <family val="2"/>
          </rPr>
          <t xml:space="preserve">
MANCANO ancora:
- fattura 467 mandato di pagamento
- fattura 1139 timbro progetto genomena
</t>
        </r>
        <r>
          <rPr>
            <sz val="8"/>
            <color indexed="10"/>
            <rFont val="Tahoma"/>
            <family val="2"/>
          </rPr>
          <t>OK - ricevuti il 14/7/2008 controllo I° livello</t>
        </r>
      </text>
    </comment>
    <comment ref="BE7" authorId="0">
      <text>
        <r>
          <rPr>
            <b/>
            <sz val="8"/>
            <rFont val="Tahoma"/>
            <family val="2"/>
          </rPr>
          <t>STORELLI:</t>
        </r>
        <r>
          <rPr>
            <sz val="8"/>
            <rFont val="Tahoma"/>
            <family val="2"/>
          </rPr>
          <t xml:space="preserve">
29/4/2008
richiesta proroga 3 mesi fino al 15 /9/2008</t>
        </r>
      </text>
    </comment>
    <comment ref="BE13" authorId="0">
      <text>
        <r>
          <rPr>
            <b/>
            <sz val="8"/>
            <rFont val="Tahoma"/>
            <family val="2"/>
          </rPr>
          <t>STORELLI:</t>
        </r>
        <r>
          <rPr>
            <sz val="8"/>
            <rFont val="Tahoma"/>
            <family val="2"/>
          </rPr>
          <t xml:space="preserve">
29/4/2008
richiesta proroga 3 mesi fino al 15 /9/2008</t>
        </r>
      </text>
    </comment>
    <comment ref="BE12" authorId="0">
      <text>
        <r>
          <rPr>
            <b/>
            <sz val="8"/>
            <rFont val="Tahoma"/>
            <family val="2"/>
          </rPr>
          <t>STORELLI:</t>
        </r>
        <r>
          <rPr>
            <sz val="8"/>
            <rFont val="Tahoma"/>
            <family val="2"/>
          </rPr>
          <t xml:space="preserve">
8/5/2008
richiesta proroga 3 mesi</t>
        </r>
      </text>
    </comment>
    <comment ref="BE18" authorId="0">
      <text>
        <r>
          <rPr>
            <b/>
            <sz val="8"/>
            <rFont val="Tahoma"/>
            <family val="2"/>
          </rPr>
          <t>STORELLI:</t>
        </r>
        <r>
          <rPr>
            <sz val="8"/>
            <rFont val="Tahoma"/>
            <family val="2"/>
          </rPr>
          <t xml:space="preserve">
21/4/2008
richiesta proroga al 15/9/2008i</t>
        </r>
      </text>
    </comment>
    <comment ref="BS5" authorId="0">
      <text>
        <r>
          <rPr>
            <b/>
            <sz val="8"/>
            <rFont val="Tahoma"/>
            <family val="2"/>
          </rPr>
          <t>STORELLI:</t>
        </r>
        <r>
          <rPr>
            <sz val="8"/>
            <rFont val="Tahoma"/>
            <family val="2"/>
          </rPr>
          <t xml:space="preserve">
PARZIALE
OK - 22/05/2008
 - spese notarili non ammesse
 - la spesa dei server è stata in via provvisoria riconosciuta al 100% in previsione di una eventuale proroga del progetto che
porterebbe il periodo di ammortamento a 11+21=32mesi
 - costi di missione per consulenti non ammessi
 - la quota di personale esposta per Di Stefano pari a euro 1520,16 è stata ammessa nel mir come personale, ma per il monitoraggio della spesa è a valere sulla quota di spese generali.</t>
        </r>
      </text>
    </comment>
    <comment ref="BE4" authorId="0">
      <text>
        <r>
          <rPr>
            <b/>
            <sz val="8"/>
            <rFont val="Tahoma"/>
            <family val="2"/>
          </rPr>
          <t>STORELLI:</t>
        </r>
        <r>
          <rPr>
            <sz val="8"/>
            <rFont val="Tahoma"/>
            <family val="2"/>
          </rPr>
          <t xml:space="preserve">
27/5/2008
richiesta proroga 3 mesi fino al 15 /9/2008</t>
        </r>
      </text>
    </comment>
    <comment ref="BE3" authorId="0">
      <text>
        <r>
          <rPr>
            <b/>
            <sz val="8"/>
            <rFont val="Tahoma"/>
            <family val="2"/>
          </rPr>
          <t>STORELLI:</t>
        </r>
        <r>
          <rPr>
            <sz val="8"/>
            <rFont val="Tahoma"/>
            <family val="2"/>
          </rPr>
          <t xml:space="preserve">
27/5/2008
richiesta proroga 3 mesi fino al 15 /9/2008</t>
        </r>
      </text>
    </comment>
    <comment ref="BE5" authorId="0">
      <text>
        <r>
          <rPr>
            <b/>
            <sz val="8"/>
            <rFont val="Tahoma"/>
            <family val="2"/>
          </rPr>
          <t>STORELLI:</t>
        </r>
        <r>
          <rPr>
            <sz val="8"/>
            <rFont val="Tahoma"/>
            <family val="2"/>
          </rPr>
          <t xml:space="preserve">
8/05/2008
richiesta proroga 3 mesi fino al 15 /9/2008
</t>
        </r>
        <r>
          <rPr>
            <sz val="8"/>
            <color indexed="10"/>
            <rFont val="Tahoma"/>
            <family val="2"/>
          </rPr>
          <t>Mancano motivazioni:
ok - 3/7/2008</t>
        </r>
        <r>
          <rPr>
            <sz val="8"/>
            <rFont val="Tahoma"/>
            <family val="2"/>
          </rPr>
          <t xml:space="preserve">
</t>
        </r>
      </text>
    </comment>
    <comment ref="BE16" authorId="0">
      <text>
        <r>
          <rPr>
            <b/>
            <sz val="8"/>
            <rFont val="Tahoma"/>
            <family val="2"/>
          </rPr>
          <t>STORELLI:</t>
        </r>
        <r>
          <rPr>
            <sz val="8"/>
            <rFont val="Tahoma"/>
            <family val="2"/>
          </rPr>
          <t xml:space="preserve">
29/05
/2008
richiesta proroga 3 mesi</t>
        </r>
      </text>
    </comment>
    <comment ref="CF11" authorId="0">
      <text>
        <r>
          <rPr>
            <b/>
            <sz val="8"/>
            <rFont val="Tahoma"/>
            <family val="2"/>
          </rPr>
          <t>STORELLI:</t>
        </r>
        <r>
          <rPr>
            <sz val="8"/>
            <rFont val="Tahoma"/>
            <family val="2"/>
          </rPr>
          <t xml:space="preserve">
PARZIALE:
non ammissibili costi missione per consulenti: iavernaro</t>
        </r>
      </text>
    </comment>
    <comment ref="CK11" authorId="0">
      <text>
        <r>
          <rPr>
            <b/>
            <sz val="8"/>
            <rFont val="Tahoma"/>
            <family val="2"/>
          </rPr>
          <t>STORELLI:</t>
        </r>
        <r>
          <rPr>
            <sz val="8"/>
            <rFont val="Tahoma"/>
            <family val="2"/>
          </rPr>
          <t xml:space="preserve">
decurtata la quota pari a 2300,76 euro, eccedente il 65% contributo concesso </t>
        </r>
      </text>
    </comment>
    <comment ref="BS6" authorId="0">
      <text>
        <r>
          <rPr>
            <b/>
            <sz val="8"/>
            <rFont val="Tahoma"/>
            <family val="2"/>
          </rPr>
          <t>STORELLI:</t>
        </r>
        <r>
          <rPr>
            <sz val="8"/>
            <rFont val="Tahoma"/>
            <family val="2"/>
          </rPr>
          <t xml:space="preserve">
mancano:
-cedolini del 2007
-geosystem:
   tabela riep. Pers.2008
   time sheet firmati
   liberatorie e ordini</t>
        </r>
      </text>
    </comment>
    <comment ref="CS4" authorId="0">
      <text>
        <r>
          <rPr>
            <b/>
            <sz val="8"/>
            <rFont val="Tahoma"/>
            <family val="2"/>
          </rPr>
          <t>STORELLI:</t>
        </r>
        <r>
          <rPr>
            <sz val="8"/>
            <rFont val="Tahoma"/>
            <family val="2"/>
          </rPr>
          <t xml:space="preserve">
mancano:
-cedolini Paolucci</t>
        </r>
      </text>
    </comment>
    <comment ref="BS13" authorId="0">
      <text>
        <r>
          <rPr>
            <b/>
            <sz val="8"/>
            <rFont val="Tahoma"/>
            <family val="2"/>
          </rPr>
          <t>STORELLI:</t>
        </r>
        <r>
          <rPr>
            <sz val="8"/>
            <rFont val="Tahoma"/>
            <family val="2"/>
          </rPr>
          <t xml:space="preserve">
</t>
        </r>
        <r>
          <rPr>
            <sz val="8"/>
            <color indexed="10"/>
            <rFont val="Tahoma"/>
            <family val="2"/>
          </rPr>
          <t>mancano tabelle corrette e  cedolini corretti secondo imputazioni mirweb: ok 25/7/2008</t>
        </r>
        <r>
          <rPr>
            <sz val="8"/>
            <rFont val="Tahoma"/>
            <family val="2"/>
          </rPr>
          <t xml:space="preserve">
istruttoria consulenti</t>
        </r>
      </text>
    </comment>
    <comment ref="CS9" authorId="0">
      <text>
        <r>
          <rPr>
            <b/>
            <sz val="8"/>
            <rFont val="Tahoma"/>
            <family val="2"/>
          </rPr>
          <t>STORELLI:</t>
        </r>
        <r>
          <rPr>
            <sz val="8"/>
            <rFont val="Tahoma"/>
            <family val="2"/>
          </rPr>
          <t xml:space="preserve">
mancano:
</t>
        </r>
        <r>
          <rPr>
            <sz val="8"/>
            <color indexed="10"/>
            <rFont val="Tahoma"/>
            <family val="2"/>
          </rPr>
          <t>- liberatoria Strade
- time sheet Strade
- relazione attività Strade(ok 17/09/2008)</t>
        </r>
        <r>
          <rPr>
            <sz val="8"/>
            <rFont val="Tahoma"/>
            <family val="2"/>
          </rPr>
          <t xml:space="preserve">
- pagata IRAP di Febb. e Marzo che sarà decurtata nel prossimo rendiconto (da S.G.) pari a euro 775,17</t>
        </r>
      </text>
    </comment>
    <comment ref="CF12" authorId="0">
      <text>
        <r>
          <rPr>
            <b/>
            <sz val="8"/>
            <rFont val="Tahoma"/>
            <family val="2"/>
          </rPr>
          <t>STORELLI:</t>
        </r>
        <r>
          <rPr>
            <sz val="8"/>
            <rFont val="Tahoma"/>
            <family val="2"/>
          </rPr>
          <t xml:space="preserve">
mancano:
- vedi nota nel rendiconto
- pagata IRAP di Febb, Marzo e Aprile che sarà decurtata nel prossimo rendiconto (da S.G.) pari a 1263,04</t>
        </r>
      </text>
    </comment>
    <comment ref="CK3" authorId="0">
      <text>
        <r>
          <rPr>
            <b/>
            <sz val="8"/>
            <rFont val="Tahoma"/>
            <family val="2"/>
          </rPr>
          <t>STORELLI:</t>
        </r>
        <r>
          <rPr>
            <sz val="8"/>
            <rFont val="Tahoma"/>
            <family val="2"/>
          </rPr>
          <t xml:space="preserve">
decurtata la quota pari a 95226,77 euro, eccedente il 65% contributo concesso </t>
        </r>
      </text>
    </comment>
    <comment ref="CF17" authorId="0">
      <text>
        <r>
          <rPr>
            <b/>
            <sz val="8"/>
            <rFont val="Tahoma"/>
            <family val="2"/>
          </rPr>
          <t>STORELLI:</t>
        </r>
        <r>
          <rPr>
            <sz val="8"/>
            <rFont val="Tahoma"/>
            <family val="2"/>
          </rPr>
          <t xml:space="preserve">
verificare irap cococo e comune di foggia</t>
        </r>
      </text>
    </comment>
    <comment ref="DF4" authorId="0">
      <text>
        <r>
          <rPr>
            <b/>
            <sz val="8"/>
            <rFont val="Tahoma"/>
            <family val="2"/>
          </rPr>
          <t>STORELLI:</t>
        </r>
        <r>
          <rPr>
            <sz val="8"/>
            <rFont val="Tahoma"/>
            <family val="2"/>
          </rPr>
          <t xml:space="preserve">
mancano:
- tabella costi partner
- cedolini Reina e Paolucci
- cedolini personale amministrativo
- consulenza: relazione, time sheet, liberatoria</t>
        </r>
      </text>
    </comment>
    <comment ref="BE11" authorId="0">
      <text>
        <r>
          <rPr>
            <b/>
            <sz val="8"/>
            <rFont val="Tahoma"/>
            <family val="2"/>
          </rPr>
          <t>STORELLI:</t>
        </r>
        <r>
          <rPr>
            <sz val="8"/>
            <rFont val="Tahoma"/>
            <family val="2"/>
          </rPr>
          <t xml:space="preserve">
6/6/2008
richiesta proroga 3 mesi</t>
        </r>
      </text>
    </comment>
    <comment ref="CF15" authorId="0">
      <text>
        <r>
          <rPr>
            <b/>
            <sz val="8"/>
            <rFont val="Tahoma"/>
            <family val="2"/>
          </rPr>
          <t>STORELLI:</t>
        </r>
        <r>
          <rPr>
            <sz val="8"/>
            <rFont val="Tahoma"/>
            <family val="2"/>
          </rPr>
          <t xml:space="preserve">
</t>
        </r>
        <r>
          <rPr>
            <sz val="8"/>
            <color indexed="12"/>
            <rFont val="Tahoma"/>
            <family val="2"/>
          </rPr>
          <t>CUM:</t>
        </r>
        <r>
          <rPr>
            <sz val="8"/>
            <rFont val="Tahoma"/>
            <family val="2"/>
          </rPr>
          <t xml:space="preserve">
- iban
- richiesta erogazione contributo
- tabella complessiva partner
- time sheet personale extra losurdo e amministrativi (S.G.)
- calcolo aliquota media oraria (IRAP)
- consulenze: relazione, time sheet giornaliero, liberatoria
</t>
        </r>
        <r>
          <rPr>
            <sz val="8"/>
            <color indexed="12"/>
            <rFont val="Tahoma"/>
            <family val="2"/>
          </rPr>
          <t>MATRIX:</t>
        </r>
        <r>
          <rPr>
            <sz val="8"/>
            <rFont val="Tahoma"/>
            <family val="2"/>
          </rPr>
          <t xml:space="preserve">
- calcolo aliquota media oraria (IRAP) 
- f24 - oneri e contributi
</t>
        </r>
        <r>
          <rPr>
            <sz val="8"/>
            <color indexed="12"/>
            <rFont val="Tahoma"/>
            <family val="2"/>
          </rPr>
          <t>DYRECTA:</t>
        </r>
        <r>
          <rPr>
            <sz val="8"/>
            <rFont val="Tahoma"/>
            <family val="2"/>
          </rPr>
          <t xml:space="preserve">
- calcolo aliquota media oraria (IRAP)
- alcuni pagamenti di Lamanna e galiano
- cedolini di Galiano
- time sheet alcuni errati rispetto ai complessivi
</t>
        </r>
        <r>
          <rPr>
            <sz val="8"/>
            <color indexed="12"/>
            <rFont val="Tahoma"/>
            <family val="2"/>
          </rPr>
          <t>Ferr. Garg.:</t>
        </r>
        <r>
          <rPr>
            <sz val="8"/>
            <rFont val="Tahoma"/>
            <family val="2"/>
          </rPr>
          <t xml:space="preserve">
- calcolo aliquota media oraria (IRAP)
- mandati pagamento (D'agostino e Settimo)
- f24 - oneri e contributi
- libro matricola
</t>
        </r>
        <r>
          <rPr>
            <sz val="8"/>
            <color indexed="12"/>
            <rFont val="Tahoma"/>
            <family val="2"/>
          </rPr>
          <t>Ferrotramviaria:</t>
        </r>
        <r>
          <rPr>
            <sz val="8"/>
            <rFont val="Tahoma"/>
            <family val="2"/>
          </rPr>
          <t xml:space="preserve">
- calcolo aliquota media oraria (IRAP)
- mandati pagamento
- f24 - oneri e contributi</t>
        </r>
      </text>
    </comment>
    <comment ref="CF6" authorId="0">
      <text>
        <r>
          <rPr>
            <b/>
            <sz val="8"/>
            <rFont val="Tahoma"/>
            <family val="2"/>
          </rPr>
          <t>STORELLI:</t>
        </r>
        <r>
          <rPr>
            <sz val="8"/>
            <rFont val="Tahoma"/>
            <family val="2"/>
          </rPr>
          <t xml:space="preserve">
quota nolo - leasing non prevista in esecutivo c'è rimodulazione??........</t>
        </r>
      </text>
    </comment>
    <comment ref="DS4" authorId="0">
      <text>
        <r>
          <rPr>
            <b/>
            <sz val="8"/>
            <rFont val="Tahoma"/>
            <family val="2"/>
          </rPr>
          <t>STORELLI:</t>
        </r>
        <r>
          <rPr>
            <sz val="8"/>
            <rFont val="Tahoma"/>
            <family val="2"/>
          </rPr>
          <t xml:space="preserve">
mancano:
- tabella costi partner
- cedolini personale amministrativo
- consulenza: curriculum,relazione, time sheet, liberatoria</t>
        </r>
      </text>
    </comment>
    <comment ref="CF7" authorId="0">
      <text>
        <r>
          <rPr>
            <b/>
            <sz val="8"/>
            <rFont val="Tahoma"/>
            <family val="2"/>
          </rPr>
          <t>STORELLI:</t>
        </r>
        <r>
          <rPr>
            <sz val="8"/>
            <rFont val="Tahoma"/>
            <family val="2"/>
          </rPr>
          <t xml:space="preserve">
da liquidare con il rendiconto finale</t>
        </r>
      </text>
    </comment>
    <comment ref="CI14" authorId="0">
      <text>
        <r>
          <rPr>
            <b/>
            <sz val="8"/>
            <rFont val="Tahoma"/>
            <family val="2"/>
          </rPr>
          <t>STORELLI:</t>
        </r>
        <r>
          <rPr>
            <sz val="8"/>
            <rFont val="Tahoma"/>
            <family val="2"/>
          </rPr>
          <t xml:space="preserve">
mancano i rapporti tecnici di chiusura attività</t>
        </r>
      </text>
    </comment>
    <comment ref="BS18" authorId="0">
      <text>
        <r>
          <rPr>
            <b/>
            <sz val="8"/>
            <rFont val="Tahoma"/>
            <family val="2"/>
          </rPr>
          <t>STORELLI:</t>
        </r>
        <r>
          <rPr>
            <sz val="8"/>
            <rFont val="Tahoma"/>
            <family val="2"/>
          </rPr>
          <t xml:space="preserve">
da liquidare con il rendiconto finale</t>
        </r>
      </text>
    </comment>
    <comment ref="CF14" authorId="0">
      <text>
        <r>
          <rPr>
            <b/>
            <sz val="8"/>
            <rFont val="Tahoma"/>
            <family val="2"/>
          </rPr>
          <t>STORELLI:</t>
        </r>
        <r>
          <rPr>
            <sz val="8"/>
            <rFont val="Tahoma"/>
            <family val="2"/>
          </rPr>
          <t xml:space="preserve">
mancano: 
 - rapporti tecnici di chiusura attività nel periodo
 - riformulare tabella costi riepilogativa e di meridionale serviziper importo di 2497,53
 - DSSM: tabella riepilogativa mensile personale; IRAP calcolata da decurtare nel prossimo rendiconto
 - DI: consulenze - relazione, liberatoria, time sheet, curriculum/profilo, IRAP calcolata da decurtare nel prossimo rendiconto
 - DEE: verificare IRAP
 - Confcooperative: timbro e firma su distinte di pagamento, IRAP calcolata da decurtare nel prossimo rendiconto
 - Merid. Serv.: timbro e firma su distinte di pagamento
 - COIMBA: timbro e firma su distinte di pagamento, IRAP calcolata da decurtare nel prossimo rendiconto</t>
        </r>
      </text>
    </comment>
    <comment ref="CS5" authorId="0">
      <text>
        <r>
          <rPr>
            <b/>
            <sz val="8"/>
            <rFont val="Tahoma"/>
            <family val="2"/>
          </rPr>
          <t>STORELLI:</t>
        </r>
        <r>
          <rPr>
            <sz val="8"/>
            <rFont val="Tahoma"/>
            <family val="2"/>
          </rPr>
          <t xml:space="preserve">
 - Sono stati decurtati 17233,62 euro da S.G &gt; 5% 
 - FORCOM: Manca contratto di noleggio HYDRUSA
 - Grecia Salentina: 
            Mancano cedolini del personale,
            Mancano contratti e tre preventivi delle consulenze PROTEM e VISION
 - GALILEO: Manca la documentazione prevista per Nolo e Leasing</t>
        </r>
      </text>
    </comment>
    <comment ref="CS8" authorId="0">
      <text>
        <r>
          <rPr>
            <b/>
            <sz val="8"/>
            <rFont val="Tahoma"/>
            <family val="2"/>
          </rPr>
          <t>STORELLI:</t>
        </r>
        <r>
          <rPr>
            <sz val="8"/>
            <rFont val="Tahoma"/>
            <family val="2"/>
          </rPr>
          <t xml:space="preserve">
 - S</t>
        </r>
        <r>
          <rPr>
            <sz val="9"/>
            <rFont val="Tahoma"/>
            <family val="2"/>
          </rPr>
          <t>.G.: decurtate in fase finale 2258,09 euro per aver superato il 5%
 -  Consulenze: Manca liberatoria CCBC, time sheet, liberatoria GET, liberatoria WAVE-A-HEAD, liberatoria GELSOROSSO, QUORUM, VIDEO NEWS(relazione, time sheet, curricula), RAI, EMI MUSIC, NIGRO, PATRUNO
 - Nolo: liberatorie
 - TESEO: consulenza contratto, liberatoria curriculum, relazione</t>
        </r>
      </text>
    </comment>
    <comment ref="CS17" authorId="0">
      <text>
        <r>
          <rPr>
            <b/>
            <sz val="8"/>
            <rFont val="Tahoma"/>
            <family val="2"/>
          </rPr>
          <t>STORELLI:</t>
        </r>
        <r>
          <rPr>
            <sz val="8"/>
            <rFont val="Tahoma"/>
            <family val="2"/>
          </rPr>
          <t xml:space="preserve">
S.G.: decurtate in fase finale 5,07 euro per aver superato il 5%
 - consulenze liberatorie, relazioni tecniche,
 - infrastrutture: liberatorie</t>
        </r>
      </text>
    </comment>
    <comment ref="CS3" authorId="0">
      <text>
        <r>
          <rPr>
            <b/>
            <sz val="9"/>
            <rFont val="Tahoma"/>
            <family val="2"/>
          </rPr>
          <t>STORELLI:</t>
        </r>
        <r>
          <rPr>
            <sz val="9"/>
            <rFont val="Tahoma"/>
            <family val="2"/>
          </rPr>
          <t xml:space="preserve">
</t>
        </r>
        <r>
          <rPr>
            <sz val="9"/>
            <color indexed="12"/>
            <rFont val="Tahoma"/>
            <family val="2"/>
          </rPr>
          <t>uniiba:</t>
        </r>
        <r>
          <rPr>
            <sz val="9"/>
            <rFont val="Tahoma"/>
            <family val="2"/>
          </rPr>
          <t xml:space="preserve"> 
 - consulenze Qualcom mancano firme e date sui time sheet
 - infrastrutture: mancano ordine e contratto Business Technology
</t>
        </r>
        <r>
          <rPr>
            <sz val="9"/>
            <color indexed="12"/>
            <rFont val="Tahoma"/>
            <family val="2"/>
          </rPr>
          <t>ICT Group</t>
        </r>
        <r>
          <rPr>
            <sz val="9"/>
            <rFont val="Tahoma"/>
            <family val="2"/>
          </rPr>
          <t>:
 - personale: mancano fotocopie degli assegni, firmate e timbrate</t>
        </r>
      </text>
    </comment>
    <comment ref="DF9" authorId="0">
      <text>
        <r>
          <rPr>
            <b/>
            <sz val="8"/>
            <rFont val="Tahoma"/>
            <family val="2"/>
          </rPr>
          <t>STORELLI:</t>
        </r>
        <r>
          <rPr>
            <sz val="8"/>
            <rFont val="Tahoma"/>
            <family val="2"/>
          </rPr>
          <t xml:space="preserve">
compensata Irap 775,17 precedente rendiconto febb-aprile 2008 con Merola Stella da S.G.
</t>
        </r>
        <r>
          <rPr>
            <sz val="8"/>
            <color indexed="12"/>
            <rFont val="Tahoma"/>
            <family val="2"/>
          </rPr>
          <t>DSPD:</t>
        </r>
        <r>
          <rPr>
            <sz val="8"/>
            <rFont val="Tahoma"/>
            <family val="2"/>
          </rPr>
          <t xml:space="preserve">
 - numeri dei mandati sul mir non corrispondenti a quelli cartacei
 - mancano cedolini dei cococo; ci sono solo quelli di settembre che accumulano tutto
</t>
        </r>
        <r>
          <rPr>
            <sz val="8"/>
            <color indexed="12"/>
            <rFont val="Tahoma"/>
            <family val="2"/>
          </rPr>
          <t>DI:</t>
        </r>
        <r>
          <rPr>
            <sz val="8"/>
            <rFont val="Tahoma"/>
            <family val="2"/>
          </rPr>
          <t xml:space="preserve">
 - mancano cedolini dei cococo; ci sono solo quelli di settembre che accumulano tutto
</t>
        </r>
      </text>
    </comment>
    <comment ref="CS15" authorId="0">
      <text>
        <r>
          <rPr>
            <b/>
            <sz val="8"/>
            <rFont val="Tahoma"/>
            <family val="2"/>
          </rPr>
          <t>STORELLI:</t>
        </r>
        <r>
          <rPr>
            <sz val="8"/>
            <rFont val="Tahoma"/>
            <family val="2"/>
          </rPr>
          <t xml:space="preserve">
</t>
        </r>
        <r>
          <rPr>
            <sz val="8"/>
            <color indexed="12"/>
            <rFont val="Tahoma"/>
            <family val="2"/>
          </rPr>
          <t>CUM:</t>
        </r>
        <r>
          <rPr>
            <sz val="8"/>
            <rFont val="Tahoma"/>
            <family val="2"/>
          </rPr>
          <t xml:space="preserve">
personale: 
- numeri di mandato MIRWEB difformi dai rendiconti cartacei
- CRudele manca mandato pagamento settembre 2008
S.G.: 
- ammesse solo quelle imputete nel MIRWEB
</t>
        </r>
        <r>
          <rPr>
            <sz val="8"/>
            <color indexed="12"/>
            <rFont val="Tahoma"/>
            <family val="2"/>
          </rPr>
          <t>DYRECTA:</t>
        </r>
        <r>
          <rPr>
            <sz val="8"/>
            <rFont val="Tahoma"/>
            <family val="2"/>
          </rPr>
          <t xml:space="preserve">
personale: 
- quote errate sui cedolini timbrati di COSOMATI
- verificare tutti gli altri
</t>
        </r>
        <r>
          <rPr>
            <sz val="8"/>
            <color indexed="12"/>
            <rFont val="Tahoma"/>
            <family val="2"/>
          </rPr>
          <t>Ferr. Garg.:</t>
        </r>
        <r>
          <rPr>
            <sz val="8"/>
            <rFont val="Tahoma"/>
            <family val="2"/>
          </rPr>
          <t xml:space="preserve">
- mancano mandati pagamento stipendi
-  i cedolini non timbrati e firmati 
</t>
        </r>
        <r>
          <rPr>
            <sz val="8"/>
            <color indexed="12"/>
            <rFont val="Tahoma"/>
            <family val="2"/>
          </rPr>
          <t>Ferrotramviaria:</t>
        </r>
        <r>
          <rPr>
            <sz val="8"/>
            <rFont val="Tahoma"/>
            <family val="2"/>
          </rPr>
          <t xml:space="preserve">
- mancano mandati pagamento stipendi
-  i cedolini non timbrati e firmati 
</t>
        </r>
        <r>
          <rPr>
            <sz val="8"/>
            <color indexed="12"/>
            <rFont val="Tahoma"/>
            <family val="2"/>
          </rPr>
          <t>Ferr. SUDEST:</t>
        </r>
        <r>
          <rPr>
            <sz val="8"/>
            <rFont val="Tahoma"/>
            <family val="2"/>
          </rPr>
          <t xml:space="preserve">
Mancano 
- mancano mandati pagamento stipendi
-  i cedolini  timbrati e firmati
- F24</t>
        </r>
      </text>
    </comment>
    <comment ref="CS7" authorId="0">
      <text>
        <r>
          <rPr>
            <b/>
            <sz val="8"/>
            <rFont val="Tahoma"/>
            <family val="2"/>
          </rPr>
          <t>STORELLI:</t>
        </r>
        <r>
          <rPr>
            <sz val="8"/>
            <rFont val="Tahoma"/>
            <family val="2"/>
          </rPr>
          <t xml:space="preserve">
</t>
        </r>
        <r>
          <rPr>
            <sz val="9"/>
            <color indexed="12"/>
            <rFont val="Tahoma"/>
            <family val="2"/>
          </rPr>
          <t xml:space="preserve">II rendiconto
</t>
        </r>
        <r>
          <rPr>
            <sz val="9"/>
            <rFont val="Tahoma"/>
            <family val="2"/>
          </rPr>
          <t xml:space="preserve">UNILE DII:
 - S.G.: Missione Sabato mancano giustificativi di spesa per 852,49 euro
CNR:
 - Personale: time sheet firmati responsabile progetto
Comune Lecce:
 - Personale: Achiardi manca nella tabella personale e contratto di incarico
Tecnol. Avanzate:
 - Personale: libro matricola
Evolvit:
 - Personale: libro matricola
</t>
        </r>
        <r>
          <rPr>
            <sz val="9"/>
            <color indexed="12"/>
            <rFont val="Tahoma"/>
            <family val="2"/>
          </rPr>
          <t xml:space="preserve">III rendiconto
</t>
        </r>
        <r>
          <rPr>
            <sz val="9"/>
            <rFont val="Tahoma"/>
            <family val="2"/>
          </rPr>
          <t xml:space="preserve">UNILE DBC:
 - Consulenze: liberatoria e curricula di Ghio, Maggiulli e Cossa
 </t>
        </r>
        <r>
          <rPr>
            <sz val="9"/>
            <color indexed="10"/>
            <rFont val="Tahoma"/>
            <family val="2"/>
          </rPr>
          <t xml:space="preserve">- S.G.: De Vanna missioni decurtate per non ammissibilità </t>
        </r>
        <r>
          <rPr>
            <sz val="9"/>
            <rFont val="Tahoma"/>
            <family val="2"/>
          </rPr>
          <t xml:space="preserve">
UNILE DII:
 - Personale: cedolini e mandati Casilli e Capone, contratto collaborazione Francioso
 - S.G.: Missione Sabato a Budapest giustificativi di spesa
 - Consulenze: liberatoria e mandato pagamento nota credito 06/08 del 17/7/2008 di WEB Science
UNILE DSSC:
 - Personale: calcolo aliquota media oraria, Co.Co.Co. Carbone Notula /cedolini e mandati pagamento
 - Consulenze: liberatoria e curricula per tutti, Toscano, Cremonesini e Izzo data notula &gt;15/9/2008
 - S.G.: Chirizzi come De Vanna e data notula &gt;15/9/2008
ISUFI:
 - Consulenze: Anglani liberatoria e verifica compenso &gt; di 450 euro/gg, liberatoria e curricula Cordella
CNR:
 - Consulenze: liberatoria e curricula di Pecere e Quarta
Comune Lecce:
 - Consulenze: Contratto, liberatoria e relazione di RTI
 - S.G.: ci sono computer e palmari che vanno in ammrtamenti/infrastrutture
Prov. Lecce:
 - Consulenze: Tutte le convenzioni sono orfane delle seconde pagine con firme e timbri, Relazioni e liberatorie, time sheet di Hitek e Studio Petrachi
Tecnol. Avanzate:
 - Personale: calcolo aliquota media oraria, libro matricola e bonifici timbrati e firmati
Salton Viaggi:
 - Personale: libro matricola, mandati/quietanza di pagamento, f24/dm10....
 - S.G.: Documenti di pagamento
Evolvit:
 - Personale: calcolo aliquota media oraria, libro matricola e f24/dm10....
 - S.G.: Documenti di pagamento</t>
        </r>
      </text>
    </comment>
    <comment ref="CS12" authorId="0">
      <text>
        <r>
          <rPr>
            <b/>
            <sz val="8"/>
            <rFont val="Tahoma"/>
            <family val="2"/>
          </rPr>
          <t>STORELLI:</t>
        </r>
        <r>
          <rPr>
            <sz val="8"/>
            <rFont val="Tahoma"/>
            <family val="2"/>
          </rPr>
          <t xml:space="preserve">
</t>
        </r>
        <r>
          <rPr>
            <sz val="10"/>
            <rFont val="Tahoma"/>
            <family val="2"/>
          </rPr>
          <t xml:space="preserve">Richiesta di erogazione del contributo
</t>
        </r>
        <r>
          <rPr>
            <sz val="10"/>
            <color indexed="10"/>
            <rFont val="Tahoma"/>
            <family val="2"/>
          </rPr>
          <t>Tabella generale costi partner errata:
 - CACT espone personale per 8676,66 invece di 115060,85
 - UNIBA espone infrastrutt. 5904 invece di 469,40</t>
        </r>
        <r>
          <rPr>
            <sz val="10"/>
            <rFont val="Tahoma"/>
            <family val="2"/>
          </rPr>
          <t xml:space="preserve">
CACT:
</t>
        </r>
        <r>
          <rPr>
            <sz val="10"/>
            <color indexed="10"/>
            <rFont val="Tahoma"/>
            <family val="2"/>
          </rPr>
          <t xml:space="preserve"> - Personale: tabella costi errata</t>
        </r>
        <r>
          <rPr>
            <sz val="10"/>
            <rFont val="Tahoma"/>
            <family val="2"/>
          </rPr>
          <t xml:space="preserve">
</t>
        </r>
        <r>
          <rPr>
            <sz val="10"/>
            <color indexed="10"/>
            <rFont val="Tahoma"/>
            <family val="2"/>
          </rPr>
          <t xml:space="preserve"> - Consulenze: GRID aliquota &gt; 450 euro/gg rivedere time sheet, relazione tecnica e</t>
        </r>
        <r>
          <rPr>
            <sz val="10"/>
            <rFont val="Tahoma"/>
            <family val="2"/>
          </rPr>
          <t xml:space="preserve"> contratto
UNILE:
 - Consulenze: FOCUS, Tech Box, COMMEDIA Contratto, </t>
        </r>
        <r>
          <rPr>
            <sz val="10"/>
            <color indexed="10"/>
            <rFont val="Tahoma"/>
            <family val="2"/>
          </rPr>
          <t>relazione</t>
        </r>
        <r>
          <rPr>
            <sz val="10"/>
            <rFont val="Tahoma"/>
            <family val="2"/>
          </rPr>
          <t xml:space="preserve"> e liberatoria; </t>
        </r>
        <r>
          <rPr>
            <sz val="10"/>
            <color indexed="10"/>
            <rFont val="Tahoma"/>
            <family val="2"/>
          </rPr>
          <t>Capoccia,</t>
        </r>
        <r>
          <rPr>
            <sz val="10"/>
            <rFont val="Tahoma"/>
            <family val="2"/>
          </rPr>
          <t xml:space="preserve"> Iavagnilio e Villani liberatoria e </t>
        </r>
        <r>
          <rPr>
            <sz val="10"/>
            <color indexed="10"/>
            <rFont val="Tahoma"/>
            <family val="2"/>
          </rPr>
          <t>curricula</t>
        </r>
        <r>
          <rPr>
            <sz val="10"/>
            <rFont val="Tahoma"/>
            <family val="2"/>
          </rPr>
          <t xml:space="preserve">
</t>
        </r>
        <r>
          <rPr>
            <sz val="10"/>
            <color indexed="10"/>
            <rFont val="Tahoma"/>
            <family val="2"/>
          </rPr>
          <t xml:space="preserve"> - S.G.: Rollo ricevuta summer school di 450 euro</t>
        </r>
        <r>
          <rPr>
            <sz val="10"/>
            <rFont val="Tahoma"/>
            <family val="2"/>
          </rPr>
          <t xml:space="preserve">
UNIBA:
</t>
        </r>
        <r>
          <rPr>
            <sz val="10"/>
            <color indexed="10"/>
            <rFont val="Tahoma"/>
            <family val="2"/>
          </rPr>
          <t xml:space="preserve"> - Consulenze: Exhicon contratto</t>
        </r>
        <r>
          <rPr>
            <sz val="10"/>
            <rFont val="Tahoma"/>
            <family val="2"/>
          </rPr>
          <t xml:space="preserve">
STP BRINDISI:
</t>
        </r>
        <r>
          <rPr>
            <sz val="10"/>
            <color indexed="10"/>
            <rFont val="Tahoma"/>
            <family val="2"/>
          </rPr>
          <t xml:space="preserve"> - Personale: Time sheet di Muscogiuri maggio e giugno errati</t>
        </r>
      </text>
    </comment>
    <comment ref="CK13" authorId="0">
      <text>
        <r>
          <rPr>
            <b/>
            <sz val="8"/>
            <rFont val="Tahoma"/>
            <family val="2"/>
          </rPr>
          <t>STORELLI:</t>
        </r>
        <r>
          <rPr>
            <sz val="8"/>
            <rFont val="Tahoma"/>
            <family val="2"/>
          </rPr>
          <t xml:space="preserve">
decurtata la quota pari a 11843,59 euro, eccedente il 65% contributo concesso </t>
        </r>
      </text>
    </comment>
    <comment ref="CS13" authorId="0">
      <text>
        <r>
          <rPr>
            <b/>
            <sz val="8"/>
            <rFont val="Tahoma"/>
            <family val="2"/>
          </rPr>
          <t>STORELLI:</t>
        </r>
        <r>
          <rPr>
            <sz val="8"/>
            <rFont val="Tahoma"/>
            <family val="2"/>
          </rPr>
          <t xml:space="preserve">
decurtato il mandato 252 pari a 890,39  a compensazione della errata imputazione del precedente rendiconto IV del mandato 228</t>
        </r>
      </text>
    </comment>
    <comment ref="BS16" authorId="1">
      <text>
        <r>
          <rPr>
            <b/>
            <sz val="8"/>
            <rFont val="Tahoma"/>
            <family val="2"/>
          </rPr>
          <t>storelli:</t>
        </r>
        <r>
          <rPr>
            <sz val="8"/>
            <rFont val="Tahoma"/>
            <family val="2"/>
          </rPr>
          <t xml:space="preserve">
manca:
 - richiesta erogazione contributo
Personale:
 - calcolo aliquota
 - f24 e copia reversali
Consulenze:
 - liberatorie, curriculum/profilo, modalità di selezione per Polyconsulting e Magi
 - importo Magi &gt; 450 euro x gg
 - liberatorie, curriculum, modalità di selezione, copia reversale per De Angelis, Arrobino, Morone
Nolo/leasing:
 - liberatorie, offerta, modalità selezione per Geosystem</t>
        </r>
      </text>
    </comment>
    <comment ref="CS14" authorId="1">
      <text>
        <r>
          <rPr>
            <b/>
            <sz val="8"/>
            <rFont val="Tahoma"/>
            <family val="2"/>
          </rPr>
          <t>storelli:</t>
        </r>
        <r>
          <rPr>
            <sz val="8"/>
            <rFont val="Tahoma"/>
            <family val="2"/>
          </rPr>
          <t xml:space="preserve">
  Irap  decurtata  pari a euro 3872,01
  modificare atbelle partner
mancano: 
  - DI: aliquota Baldassarre
 - DSSM: riepilogo mensile personale e time sheet
 - COIMBA: cartellia completa</t>
        </r>
      </text>
    </comment>
  </commentList>
</comments>
</file>

<file path=xl/comments10.xml><?xml version="1.0" encoding="utf-8"?>
<comments xmlns="http://schemas.openxmlformats.org/spreadsheetml/2006/main">
  <authors>
    <author>STORELLI</author>
  </authors>
  <commentList>
    <comment ref="C23" authorId="0">
      <text>
        <r>
          <rPr>
            <b/>
            <sz val="8"/>
            <rFont val="Tahoma"/>
            <family val="2"/>
          </rPr>
          <t>STORELLI:</t>
        </r>
        <r>
          <rPr>
            <sz val="8"/>
            <rFont val="Tahoma"/>
            <family val="2"/>
          </rPr>
          <t xml:space="preserve">
da progetto esecutivo rimodulato
</t>
        </r>
      </text>
    </comment>
    <comment ref="E12" authorId="0">
      <text>
        <r>
          <rPr>
            <b/>
            <sz val="8"/>
            <rFont val="Tahoma"/>
            <family val="2"/>
          </rPr>
          <t>STORELLI:</t>
        </r>
        <r>
          <rPr>
            <sz val="8"/>
            <rFont val="Tahoma"/>
            <family val="2"/>
          </rPr>
          <t xml:space="preserve">
mancano:
-cedolini Paolucci
</t>
        </r>
      </text>
    </comment>
    <comment ref="E13" authorId="0">
      <text>
        <r>
          <rPr>
            <b/>
            <sz val="8"/>
            <rFont val="Tahoma"/>
            <family val="2"/>
          </rPr>
          <t>STORELLI:</t>
        </r>
        <r>
          <rPr>
            <sz val="8"/>
            <rFont val="Tahoma"/>
            <family val="2"/>
          </rPr>
          <t xml:space="preserve">
mancano:
- tabella costi partner
- cedolini Reina e Paolucci
- cedolini personale amministrativo
- consulenza: relazione, time sheet, liberatoria</t>
        </r>
      </text>
    </comment>
    <comment ref="E14" authorId="0">
      <text>
        <r>
          <rPr>
            <b/>
            <sz val="8"/>
            <rFont val="Tahoma"/>
            <family val="2"/>
          </rPr>
          <t>STORELLI:</t>
        </r>
        <r>
          <rPr>
            <sz val="8"/>
            <rFont val="Tahoma"/>
            <family val="2"/>
          </rPr>
          <t xml:space="preserve">
mancano:
- tabella costi partner
- cedolini personale amministrativo
- </t>
        </r>
        <r>
          <rPr>
            <sz val="8"/>
            <color indexed="10"/>
            <rFont val="Tahoma"/>
            <family val="2"/>
          </rPr>
          <t>consulenza: curriculum,relazione, time sheet, liberatoria ok 27/10/2008</t>
        </r>
      </text>
    </comment>
    <comment ref="C5" authorId="0">
      <text>
        <r>
          <rPr>
            <b/>
            <sz val="8"/>
            <rFont val="Tahoma"/>
            <family val="2"/>
          </rPr>
          <t>STORELLI:</t>
        </r>
        <r>
          <rPr>
            <sz val="8"/>
            <rFont val="Tahoma"/>
            <family val="2"/>
          </rPr>
          <t xml:space="preserve">
al collaudo decurtare 9031,61 euro</t>
        </r>
      </text>
    </comment>
    <comment ref="C50" authorId="0">
      <text>
        <r>
          <rPr>
            <b/>
            <sz val="8"/>
            <rFont val="Tahoma"/>
            <family val="2"/>
          </rPr>
          <t>STORELLI:</t>
        </r>
        <r>
          <rPr>
            <sz val="8"/>
            <rFont val="Tahoma"/>
            <family val="2"/>
          </rPr>
          <t xml:space="preserve">
quota da liquidare recuperando l'anticipazione
</t>
        </r>
      </text>
    </comment>
    <comment ref="E15" authorId="0">
      <text>
        <r>
          <rPr>
            <b/>
            <sz val="8"/>
            <rFont val="Tahoma"/>
            <family val="2"/>
          </rPr>
          <t>STORELLI:</t>
        </r>
        <r>
          <rPr>
            <sz val="8"/>
            <rFont val="Tahoma"/>
            <family val="2"/>
          </rPr>
          <t xml:space="preserve">
mancano:
- tabella costi partner
</t>
        </r>
        <r>
          <rPr>
            <sz val="8"/>
            <rFont val="Tahoma"/>
            <family val="2"/>
          </rPr>
          <t>- consulenza: contratto, curriculum, relazione, time sheet, liberatoria</t>
        </r>
        <r>
          <rPr>
            <sz val="8"/>
            <color indexed="10"/>
            <rFont val="Tahoma"/>
            <family val="2"/>
          </rPr>
          <t xml:space="preserve"> </t>
        </r>
      </text>
    </comment>
  </commentList>
</comments>
</file>

<file path=xl/comments11.xml><?xml version="1.0" encoding="utf-8"?>
<comments xmlns="http://schemas.openxmlformats.org/spreadsheetml/2006/main">
  <authors>
    <author>STORELLI</author>
  </authors>
  <commentList>
    <comment ref="C20" authorId="0">
      <text>
        <r>
          <rPr>
            <b/>
            <sz val="8"/>
            <rFont val="Tahoma"/>
            <family val="2"/>
          </rPr>
          <t>STORELLI:</t>
        </r>
        <r>
          <rPr>
            <sz val="8"/>
            <rFont val="Tahoma"/>
            <family val="2"/>
          </rPr>
          <t xml:space="preserve">
da progetto esecutivo approvato</t>
        </r>
      </text>
    </comment>
    <comment ref="L10" authorId="0">
      <text>
        <r>
          <rPr>
            <b/>
            <sz val="8"/>
            <rFont val="Tahoma"/>
            <family val="2"/>
          </rPr>
          <t>STORELLI:</t>
        </r>
        <r>
          <rPr>
            <sz val="8"/>
            <rFont val="Tahoma"/>
            <family val="2"/>
          </rPr>
          <t xml:space="preserve">
verificare la tipologia di altre spese per capire se diventano spese generali o beni durevoli:
</t>
        </r>
        <r>
          <rPr>
            <sz val="8"/>
            <color indexed="10"/>
            <rFont val="Tahoma"/>
            <family val="2"/>
          </rPr>
          <t xml:space="preserve">ok sono acquisto sw + noli 
sono stati erroneamente imputati nel mirweb in altre spese.
</t>
        </r>
      </text>
    </comment>
    <comment ref="C40" authorId="0">
      <text>
        <r>
          <rPr>
            <b/>
            <sz val="8"/>
            <rFont val="Tahoma"/>
            <family val="2"/>
          </rPr>
          <t>STORELLI:</t>
        </r>
        <r>
          <rPr>
            <sz val="8"/>
            <rFont val="Tahoma"/>
            <family val="2"/>
          </rPr>
          <t xml:space="preserve">
quota da liquidare recuperando l'anticipazione
</t>
        </r>
      </text>
    </comment>
  </commentList>
</comments>
</file>

<file path=xl/comments12.xml><?xml version="1.0" encoding="utf-8"?>
<comments xmlns="http://schemas.openxmlformats.org/spreadsheetml/2006/main">
  <authors>
    <author>STORELLI</author>
    <author>storelli</author>
  </authors>
  <commentList>
    <comment ref="E11" authorId="0">
      <text>
        <r>
          <rPr>
            <b/>
            <sz val="8"/>
            <rFont val="Tahoma"/>
            <family val="2"/>
          </rPr>
          <t>STORELLI:</t>
        </r>
        <r>
          <rPr>
            <sz val="8"/>
            <rFont val="Tahoma"/>
            <family val="2"/>
          </rPr>
          <t xml:space="preserve">
mancano:
-cedolini del 2007
-</t>
        </r>
        <r>
          <rPr>
            <sz val="8"/>
            <color indexed="10"/>
            <rFont val="Tahoma"/>
            <family val="2"/>
          </rPr>
          <t>lettere incarico amministrativi e personale ok</t>
        </r>
        <r>
          <rPr>
            <sz val="8"/>
            <rFont val="Tahoma"/>
            <family val="2"/>
          </rPr>
          <t xml:space="preserve">
-geosystem:
   tabela riep. Pers.2008
   time sheet firmati
   </t>
        </r>
        <r>
          <rPr>
            <sz val="8"/>
            <color indexed="10"/>
            <rFont val="Tahoma"/>
            <family val="2"/>
          </rPr>
          <t>liberatorie e ordini ok</t>
        </r>
      </text>
    </comment>
    <comment ref="E12" authorId="0">
      <text>
        <r>
          <rPr>
            <b/>
            <sz val="8"/>
            <rFont val="Tahoma"/>
            <family val="2"/>
          </rPr>
          <t>STORELLI:</t>
        </r>
        <r>
          <rPr>
            <sz val="8"/>
            <rFont val="Tahoma"/>
            <family val="2"/>
          </rPr>
          <t xml:space="preserve">
- quota nolo - leasing non prevista in esecutivo c'è rimodulazione??........
- nel mirweb imputata una quota nel personale dipendente che è di spese generali</t>
        </r>
      </text>
    </comment>
    <comment ref="E13" authorId="1">
      <text>
        <r>
          <rPr>
            <b/>
            <sz val="8"/>
            <rFont val="Tahoma"/>
            <family val="0"/>
          </rPr>
          <t>storelli:</t>
        </r>
        <r>
          <rPr>
            <sz val="8"/>
            <rFont val="Tahoma"/>
            <family val="0"/>
          </rPr>
          <t xml:space="preserve">
- quota nolo - leasing non prevista in esecutivo 
- manca SAL TECNICO CHIUSURA PROGETTO</t>
        </r>
      </text>
    </comment>
    <comment ref="C43" authorId="0">
      <text>
        <r>
          <rPr>
            <b/>
            <sz val="8"/>
            <rFont val="Tahoma"/>
            <family val="2"/>
          </rPr>
          <t>STORELLI:</t>
        </r>
        <r>
          <rPr>
            <sz val="8"/>
            <rFont val="Tahoma"/>
            <family val="2"/>
          </rPr>
          <t xml:space="preserve">
quota da liquidare recuperando l'anticipazione
</t>
        </r>
      </text>
    </comment>
  </commentList>
</comments>
</file>

<file path=xl/comments13.xml><?xml version="1.0" encoding="utf-8"?>
<comments xmlns="http://schemas.openxmlformats.org/spreadsheetml/2006/main">
  <authors>
    <author>STORELLI</author>
    <author>storelli</author>
  </authors>
  <commentList>
    <comment ref="F10" authorId="0">
      <text>
        <r>
          <rPr>
            <b/>
            <sz val="8"/>
            <rFont val="Tahoma"/>
            <family val="2"/>
          </rPr>
          <t>STORELLI:</t>
        </r>
        <r>
          <rPr>
            <sz val="8"/>
            <rFont val="Tahoma"/>
            <family val="2"/>
          </rPr>
          <t xml:space="preserve">
Costi di Buccero del DII lecce verificare esistenza busta paga, in alternativa spostare in consulenze</t>
        </r>
      </text>
    </comment>
    <comment ref="C11" authorId="0">
      <text>
        <r>
          <rPr>
            <b/>
            <sz val="8"/>
            <rFont val="Tahoma"/>
            <family val="2"/>
          </rPr>
          <t>STORELLI:</t>
        </r>
        <r>
          <rPr>
            <sz val="8"/>
            <rFont val="Tahoma"/>
            <family val="2"/>
          </rPr>
          <t xml:space="preserve">
da liquidare con il rendiconto finale
</t>
        </r>
      </text>
    </comment>
    <comment ref="C42" authorId="0">
      <text>
        <r>
          <rPr>
            <b/>
            <sz val="8"/>
            <rFont val="Tahoma"/>
            <family val="2"/>
          </rPr>
          <t>STORELLI:</t>
        </r>
        <r>
          <rPr>
            <sz val="8"/>
            <rFont val="Tahoma"/>
            <family val="2"/>
          </rPr>
          <t xml:space="preserve">
quota da liquidare recuperando l'anticipazione
</t>
        </r>
      </text>
    </comment>
    <comment ref="C41" authorId="0">
      <text>
        <r>
          <rPr>
            <b/>
            <sz val="8"/>
            <rFont val="Tahoma"/>
            <family val="2"/>
          </rPr>
          <t>STORELLI:</t>
        </r>
        <r>
          <rPr>
            <sz val="8"/>
            <rFont val="Tahoma"/>
            <family val="2"/>
          </rPr>
          <t xml:space="preserve">
quota da liquidare recuperando l'anticipazione</t>
        </r>
      </text>
    </comment>
    <comment ref="C12" authorId="0">
      <text>
        <r>
          <rPr>
            <b/>
            <sz val="8"/>
            <rFont val="Tahoma"/>
            <family val="2"/>
          </rPr>
          <t>STORELLI:</t>
        </r>
        <r>
          <rPr>
            <sz val="8"/>
            <rFont val="Tahoma"/>
            <family val="2"/>
          </rPr>
          <t xml:space="preserve">
da liquidare con il rendiconto finale
</t>
        </r>
      </text>
    </comment>
    <comment ref="C43" authorId="0">
      <text>
        <r>
          <rPr>
            <b/>
            <sz val="8"/>
            <rFont val="Tahoma"/>
            <family val="2"/>
          </rPr>
          <t>STORELLI:</t>
        </r>
        <r>
          <rPr>
            <sz val="8"/>
            <rFont val="Tahoma"/>
            <family val="2"/>
          </rPr>
          <t xml:space="preserve">
da liquidare</t>
        </r>
      </text>
    </comment>
    <comment ref="E12" authorId="0">
      <text>
        <r>
          <rPr>
            <b/>
            <sz val="8"/>
            <rFont val="Tahoma"/>
            <family val="2"/>
          </rPr>
          <t>STORELLI:</t>
        </r>
        <r>
          <rPr>
            <sz val="8"/>
            <rFont val="Tahoma"/>
            <family val="2"/>
          </rPr>
          <t xml:space="preserve">
</t>
        </r>
        <r>
          <rPr>
            <sz val="8"/>
            <color indexed="12"/>
            <rFont val="Tahoma"/>
            <family val="2"/>
          </rPr>
          <t>UNILE DBC:</t>
        </r>
        <r>
          <rPr>
            <sz val="8"/>
            <rFont val="Tahoma"/>
            <family val="2"/>
          </rPr>
          <t xml:space="preserve">
 - Consulenze: liberatoria e curricula di Ghio, Maggiulli e Cossa
 </t>
        </r>
        <r>
          <rPr>
            <sz val="8"/>
            <color indexed="10"/>
            <rFont val="Tahoma"/>
            <family val="2"/>
          </rPr>
          <t>- S.G.: De Vanna missioni decurtate per 692,25 euro</t>
        </r>
        <r>
          <rPr>
            <sz val="8"/>
            <rFont val="Tahoma"/>
            <family val="2"/>
          </rPr>
          <t xml:space="preserve">
</t>
        </r>
        <r>
          <rPr>
            <sz val="8"/>
            <color indexed="12"/>
            <rFont val="Tahoma"/>
            <family val="2"/>
          </rPr>
          <t>UNILE DII:</t>
        </r>
        <r>
          <rPr>
            <sz val="8"/>
            <rFont val="Tahoma"/>
            <family val="2"/>
          </rPr>
          <t xml:space="preserve">
 - Personale: cedolini e mandati Casilli e Capone, contratto collaborazione Francioso
 - S.G.: Missione Sabato a Budapest giustificativi di spesa
 - Consulenze: liberatoria e mandato pagamento nota credito 06/08 del 17/7/2008 di WEB Science
</t>
        </r>
        <r>
          <rPr>
            <sz val="8"/>
            <color indexed="12"/>
            <rFont val="Tahoma"/>
            <family val="2"/>
          </rPr>
          <t>UNILE DSSC:</t>
        </r>
        <r>
          <rPr>
            <sz val="8"/>
            <rFont val="Tahoma"/>
            <family val="2"/>
          </rPr>
          <t xml:space="preserve">
 - Personale: calcolo aliquota media oraria, Co.Co.Co. Carbone Notula /cedolini e mandati pagamento
 - Consulenze: liberatoria e curricula per tutti, Toscano, Cremonesini e Izzo data notula &gt;15/9/2008
 - S.G.: Chirizzi come De Vanna e data notula &gt;15/9/2008
</t>
        </r>
        <r>
          <rPr>
            <sz val="8"/>
            <color indexed="12"/>
            <rFont val="Tahoma"/>
            <family val="2"/>
          </rPr>
          <t>ISUFI:</t>
        </r>
        <r>
          <rPr>
            <sz val="8"/>
            <rFont val="Tahoma"/>
            <family val="2"/>
          </rPr>
          <t xml:space="preserve">
 - Consulenze: Anglani liberatoria e verifica compenso &gt; di 450 euro/gg, liberatoria e curricula Cordella
</t>
        </r>
        <r>
          <rPr>
            <sz val="8"/>
            <color indexed="12"/>
            <rFont val="Tahoma"/>
            <family val="2"/>
          </rPr>
          <t>CNR:</t>
        </r>
        <r>
          <rPr>
            <sz val="8"/>
            <rFont val="Tahoma"/>
            <family val="2"/>
          </rPr>
          <t xml:space="preserve">
 - Consulenze: liberatoria e curricula di Pecere e Quarta
</t>
        </r>
        <r>
          <rPr>
            <sz val="8"/>
            <color indexed="12"/>
            <rFont val="Tahoma"/>
            <family val="2"/>
          </rPr>
          <t>Comune Lecce:</t>
        </r>
        <r>
          <rPr>
            <sz val="8"/>
            <rFont val="Tahoma"/>
            <family val="2"/>
          </rPr>
          <t xml:space="preserve">
 - Consulenze: Contratto, liberatoria e relazione di RTI
 - S.G.: ci sono computer e palmari che vanno in ammrtamenti/infrastrutture
</t>
        </r>
        <r>
          <rPr>
            <sz val="8"/>
            <color indexed="12"/>
            <rFont val="Tahoma"/>
            <family val="2"/>
          </rPr>
          <t>Prov. Lecce:</t>
        </r>
        <r>
          <rPr>
            <sz val="8"/>
            <rFont val="Tahoma"/>
            <family val="2"/>
          </rPr>
          <t xml:space="preserve">
 - Consulenze: Tutte le convenzioni sono orfane delle seconde pagine con firme e timbri, Relazioni e liberatorie, time sheet di Hitek e Studio Petrachi
</t>
        </r>
        <r>
          <rPr>
            <sz val="8"/>
            <color indexed="12"/>
            <rFont val="Tahoma"/>
            <family val="2"/>
          </rPr>
          <t>Tecnol. Avanzate:</t>
        </r>
        <r>
          <rPr>
            <sz val="8"/>
            <rFont val="Tahoma"/>
            <family val="2"/>
          </rPr>
          <t xml:space="preserve">
 - Personale: calcolo aliquota media oraria, libro matricola e bonifici timbrati e firmati
</t>
        </r>
        <r>
          <rPr>
            <sz val="8"/>
            <color indexed="12"/>
            <rFont val="Tahoma"/>
            <family val="2"/>
          </rPr>
          <t>Salton Viaggi:</t>
        </r>
        <r>
          <rPr>
            <sz val="8"/>
            <rFont val="Tahoma"/>
            <family val="2"/>
          </rPr>
          <t xml:space="preserve">
 - Personale: libro matricola, mandati/quietanza di pagamento, f24/dm10....
 - S.G.: Documenti di pagamento
</t>
        </r>
        <r>
          <rPr>
            <sz val="8"/>
            <color indexed="12"/>
            <rFont val="Tahoma"/>
            <family val="2"/>
          </rPr>
          <t>Evolvit:</t>
        </r>
        <r>
          <rPr>
            <sz val="8"/>
            <rFont val="Tahoma"/>
            <family val="2"/>
          </rPr>
          <t xml:space="preserve">
 - Personale: calcolo aliquota media oraria, libro matricola e f24/dm10....
 - S.G.: Documenti di pagamento</t>
        </r>
      </text>
    </comment>
    <comment ref="E11" authorId="0">
      <text>
        <r>
          <rPr>
            <b/>
            <sz val="8"/>
            <rFont val="Tahoma"/>
            <family val="2"/>
          </rPr>
          <t>STORELLI:</t>
        </r>
        <r>
          <rPr>
            <sz val="8"/>
            <rFont val="Tahoma"/>
            <family val="2"/>
          </rPr>
          <t xml:space="preserve">
</t>
        </r>
        <r>
          <rPr>
            <sz val="8"/>
            <color indexed="12"/>
            <rFont val="Tahoma"/>
            <family val="2"/>
          </rPr>
          <t>UNILE DII:</t>
        </r>
        <r>
          <rPr>
            <sz val="8"/>
            <rFont val="Tahoma"/>
            <family val="2"/>
          </rPr>
          <t xml:space="preserve">
 - S.G.: Missione Sabato mancano giustificativi di spesa per 852,49 euro
</t>
        </r>
        <r>
          <rPr>
            <sz val="8"/>
            <color indexed="12"/>
            <rFont val="Tahoma"/>
            <family val="2"/>
          </rPr>
          <t>CNR:</t>
        </r>
        <r>
          <rPr>
            <sz val="8"/>
            <rFont val="Tahoma"/>
            <family val="2"/>
          </rPr>
          <t xml:space="preserve">
 - Personale: time sheet firmati responsabile progetto
</t>
        </r>
        <r>
          <rPr>
            <sz val="8"/>
            <color indexed="12"/>
            <rFont val="Tahoma"/>
            <family val="2"/>
          </rPr>
          <t>Comune Lecce:</t>
        </r>
        <r>
          <rPr>
            <sz val="8"/>
            <rFont val="Tahoma"/>
            <family val="2"/>
          </rPr>
          <t xml:space="preserve">
 - Personale: Achiardi manca nella tabella personale e contratto di incarico
</t>
        </r>
        <r>
          <rPr>
            <sz val="8"/>
            <color indexed="12"/>
            <rFont val="Tahoma"/>
            <family val="2"/>
          </rPr>
          <t>Tecnol. Avanzate:</t>
        </r>
        <r>
          <rPr>
            <sz val="8"/>
            <rFont val="Tahoma"/>
            <family val="2"/>
          </rPr>
          <t xml:space="preserve">
 - Personale: libro matricola
</t>
        </r>
        <r>
          <rPr>
            <sz val="8"/>
            <color indexed="12"/>
            <rFont val="Tahoma"/>
            <family val="2"/>
          </rPr>
          <t>Evolvit:</t>
        </r>
        <r>
          <rPr>
            <sz val="8"/>
            <rFont val="Tahoma"/>
            <family val="2"/>
          </rPr>
          <t xml:space="preserve">
 - Personale: libro matricola</t>
        </r>
      </text>
    </comment>
    <comment ref="J12" authorId="0">
      <text>
        <r>
          <rPr>
            <b/>
            <sz val="8"/>
            <rFont val="Tahoma"/>
            <family val="2"/>
          </rPr>
          <t>STORELLI:</t>
        </r>
        <r>
          <rPr>
            <sz val="8"/>
            <rFont val="Tahoma"/>
            <family val="2"/>
          </rPr>
          <t xml:space="preserve">
decurtate S.G. missioni di DeVanna non ammissibili  per 692,25 euro</t>
        </r>
      </text>
    </comment>
    <comment ref="K32" authorId="0">
      <text>
        <r>
          <rPr>
            <b/>
            <sz val="8"/>
            <rFont val="Tahoma"/>
            <family val="2"/>
          </rPr>
          <t>STORELLI:</t>
        </r>
        <r>
          <rPr>
            <sz val="8"/>
            <rFont val="Tahoma"/>
            <family val="2"/>
          </rPr>
          <t xml:space="preserve">
decurtate S.G. missioni di DeVanna non operativo in progetto per 692,25 euro</t>
        </r>
      </text>
    </comment>
    <comment ref="E35" authorId="1">
      <text>
        <r>
          <rPr>
            <b/>
            <sz val="8"/>
            <rFont val="Tahoma"/>
            <family val="0"/>
          </rPr>
          <t>storelli:</t>
        </r>
        <r>
          <rPr>
            <sz val="8"/>
            <rFont val="Tahoma"/>
            <family val="0"/>
          </rPr>
          <t xml:space="preserve">
decurtazione commissione di collaudo per minor spesa del DII della fattura webscienze 168 dell'11/7/2008 di 30.000 e pagata per 29.880 con mandato 1891 del 30/09/2008</t>
        </r>
      </text>
    </comment>
  </commentList>
</comments>
</file>

<file path=xl/comments14.xml><?xml version="1.0" encoding="utf-8"?>
<comments xmlns="http://schemas.openxmlformats.org/spreadsheetml/2006/main">
  <authors>
    <author>STORELLI</author>
  </authors>
  <commentList>
    <comment ref="E11" authorId="0">
      <text>
        <r>
          <rPr>
            <b/>
            <sz val="8"/>
            <rFont val="Tahoma"/>
            <family val="2"/>
          </rPr>
          <t>STORELLI:</t>
        </r>
        <r>
          <rPr>
            <sz val="8"/>
            <rFont val="Tahoma"/>
            <family val="2"/>
          </rPr>
          <t xml:space="preserve">
mancano:
- vedi nota nel rendiconto
- pagata IRAP di Febb, Marzo e Aprile che sarà decurtata nel prossimo rendiconto (da S.G.) pari a 1263,04</t>
        </r>
      </text>
    </comment>
    <comment ref="J13" authorId="0">
      <text>
        <r>
          <rPr>
            <b/>
            <sz val="8"/>
            <rFont val="Tahoma"/>
            <family val="2"/>
          </rPr>
          <t>STORELLI:</t>
        </r>
        <r>
          <rPr>
            <sz val="8"/>
            <rFont val="Tahoma"/>
            <family val="2"/>
          </rPr>
          <t xml:space="preserve">
S.G.UNILE : rigettati  mandati 1807 e 1984 per euro 1263,04 recupero IRAP pagata nelprecedente rendiconto</t>
        </r>
      </text>
    </comment>
    <comment ref="C42" authorId="0">
      <text>
        <r>
          <rPr>
            <b/>
            <sz val="8"/>
            <rFont val="Tahoma"/>
            <family val="2"/>
          </rPr>
          <t>STORELLI:</t>
        </r>
        <r>
          <rPr>
            <sz val="8"/>
            <rFont val="Tahoma"/>
            <family val="2"/>
          </rPr>
          <t xml:space="preserve">
quota da liquidare recuperando l'anticipazione
</t>
        </r>
      </text>
    </comment>
    <comment ref="E14" authorId="0">
      <text>
        <r>
          <rPr>
            <b/>
            <sz val="8"/>
            <rFont val="Tahoma"/>
            <family val="2"/>
          </rPr>
          <t>STORELLI:</t>
        </r>
        <r>
          <rPr>
            <sz val="8"/>
            <rFont val="Tahoma"/>
            <family val="2"/>
          </rPr>
          <t xml:space="preserve">
</t>
        </r>
        <r>
          <rPr>
            <sz val="8"/>
            <color indexed="10"/>
            <rFont val="Tahoma"/>
            <family val="2"/>
          </rPr>
          <t>Richiesta di erogazione del contributo</t>
        </r>
        <r>
          <rPr>
            <sz val="8"/>
            <rFont val="Tahoma"/>
            <family val="2"/>
          </rPr>
          <t xml:space="preserve">
</t>
        </r>
        <r>
          <rPr>
            <sz val="8"/>
            <color indexed="10"/>
            <rFont val="Tahoma"/>
            <family val="2"/>
          </rPr>
          <t>Tabella generale costi partner errata:
 - CACT espone personale per 8676,66 invece di 115060,85
 - UNIBA espone infrastrutt. 5904 invece di 469,40</t>
        </r>
        <r>
          <rPr>
            <sz val="8"/>
            <rFont val="Tahoma"/>
            <family val="2"/>
          </rPr>
          <t xml:space="preserve">
</t>
        </r>
        <r>
          <rPr>
            <sz val="8"/>
            <color indexed="12"/>
            <rFont val="Tahoma"/>
            <family val="2"/>
          </rPr>
          <t>CACT:</t>
        </r>
        <r>
          <rPr>
            <sz val="8"/>
            <rFont val="Tahoma"/>
            <family val="2"/>
          </rPr>
          <t xml:space="preserve">
</t>
        </r>
        <r>
          <rPr>
            <sz val="8"/>
            <color indexed="10"/>
            <rFont val="Tahoma"/>
            <family val="2"/>
          </rPr>
          <t xml:space="preserve"> - Personale: tabella costi errata</t>
        </r>
        <r>
          <rPr>
            <sz val="8"/>
            <rFont val="Tahoma"/>
            <family val="2"/>
          </rPr>
          <t xml:space="preserve">
</t>
        </r>
        <r>
          <rPr>
            <sz val="8"/>
            <color indexed="10"/>
            <rFont val="Tahoma"/>
            <family val="2"/>
          </rPr>
          <t xml:space="preserve"> - Consulenze: </t>
        </r>
        <r>
          <rPr>
            <sz val="8"/>
            <rFont val="Tahoma"/>
            <family val="2"/>
          </rPr>
          <t>GRID</t>
        </r>
        <r>
          <rPr>
            <sz val="8"/>
            <color indexed="10"/>
            <rFont val="Tahoma"/>
            <family val="2"/>
          </rPr>
          <t xml:space="preserve"> aliquota &gt; 450 euro/gg rivedere time sheet, relazione tecnica e </t>
        </r>
        <r>
          <rPr>
            <sz val="8"/>
            <rFont val="Tahoma"/>
            <family val="2"/>
          </rPr>
          <t xml:space="preserve">contratto
</t>
        </r>
        <r>
          <rPr>
            <sz val="8"/>
            <color indexed="12"/>
            <rFont val="Tahoma"/>
            <family val="2"/>
          </rPr>
          <t>UNILE:</t>
        </r>
        <r>
          <rPr>
            <sz val="8"/>
            <rFont val="Tahoma"/>
            <family val="2"/>
          </rPr>
          <t xml:space="preserve">
 - Consulenze: </t>
        </r>
        <r>
          <rPr>
            <sz val="8"/>
            <color indexed="10"/>
            <rFont val="Tahoma"/>
            <family val="2"/>
          </rPr>
          <t>FOCUS,</t>
        </r>
        <r>
          <rPr>
            <sz val="8"/>
            <rFont val="Tahoma"/>
            <family val="2"/>
          </rPr>
          <t xml:space="preserve"> Tech Box, COMMEDIA </t>
        </r>
        <r>
          <rPr>
            <sz val="8"/>
            <color indexed="10"/>
            <rFont val="Tahoma"/>
            <family val="2"/>
          </rPr>
          <t>Contratto,</t>
        </r>
        <r>
          <rPr>
            <sz val="8"/>
            <rFont val="Tahoma"/>
            <family val="2"/>
          </rPr>
          <t xml:space="preserve"> relazione e </t>
        </r>
        <r>
          <rPr>
            <sz val="8"/>
            <color indexed="10"/>
            <rFont val="Tahoma"/>
            <family val="2"/>
          </rPr>
          <t>liberatoria;</t>
        </r>
        <r>
          <rPr>
            <sz val="8"/>
            <rFont val="Tahoma"/>
            <family val="2"/>
          </rPr>
          <t xml:space="preserve"> </t>
        </r>
        <r>
          <rPr>
            <sz val="8"/>
            <color indexed="10"/>
            <rFont val="Tahoma"/>
            <family val="2"/>
          </rPr>
          <t>Capoccia,</t>
        </r>
        <r>
          <rPr>
            <sz val="8"/>
            <rFont val="Tahoma"/>
            <family val="2"/>
          </rPr>
          <t xml:space="preserve"> </t>
        </r>
        <r>
          <rPr>
            <sz val="8"/>
            <color indexed="10"/>
            <rFont val="Tahoma"/>
            <family val="2"/>
          </rPr>
          <t>Iavagnilio e Villani liberatoria e curricula</t>
        </r>
        <r>
          <rPr>
            <sz val="8"/>
            <rFont val="Tahoma"/>
            <family val="2"/>
          </rPr>
          <t xml:space="preserve">
</t>
        </r>
        <r>
          <rPr>
            <sz val="8"/>
            <color indexed="10"/>
            <rFont val="Tahoma"/>
            <family val="2"/>
          </rPr>
          <t xml:space="preserve"> - S.G.: Rollo ricevuta summer school di 450 euro</t>
        </r>
        <r>
          <rPr>
            <sz val="8"/>
            <rFont val="Tahoma"/>
            <family val="2"/>
          </rPr>
          <t xml:space="preserve">
</t>
        </r>
        <r>
          <rPr>
            <sz val="8"/>
            <color indexed="12"/>
            <rFont val="Tahoma"/>
            <family val="2"/>
          </rPr>
          <t>UNIBA:</t>
        </r>
        <r>
          <rPr>
            <sz val="8"/>
            <rFont val="Tahoma"/>
            <family val="2"/>
          </rPr>
          <t xml:space="preserve">
</t>
        </r>
        <r>
          <rPr>
            <sz val="8"/>
            <color indexed="10"/>
            <rFont val="Tahoma"/>
            <family val="2"/>
          </rPr>
          <t xml:space="preserve"> - Consulenze: Exhicon contratto</t>
        </r>
        <r>
          <rPr>
            <sz val="8"/>
            <rFont val="Tahoma"/>
            <family val="2"/>
          </rPr>
          <t xml:space="preserve">
</t>
        </r>
        <r>
          <rPr>
            <sz val="8"/>
            <color indexed="12"/>
            <rFont val="Tahoma"/>
            <family val="2"/>
          </rPr>
          <t>STP BRINDISI:</t>
        </r>
        <r>
          <rPr>
            <sz val="8"/>
            <rFont val="Tahoma"/>
            <family val="2"/>
          </rPr>
          <t xml:space="preserve">
</t>
        </r>
        <r>
          <rPr>
            <sz val="8"/>
            <color indexed="10"/>
            <rFont val="Tahoma"/>
            <family val="2"/>
          </rPr>
          <t xml:space="preserve"> - Personale: Time sheet di Muscogiuri maggio e giugno errati</t>
        </r>
      </text>
    </comment>
  </commentList>
</comments>
</file>

<file path=xl/comments15.xml><?xml version="1.0" encoding="utf-8"?>
<comments xmlns="http://schemas.openxmlformats.org/spreadsheetml/2006/main">
  <authors>
    <author>STORELLI</author>
  </authors>
  <commentList>
    <comment ref="E11" authorId="0">
      <text>
        <r>
          <rPr>
            <b/>
            <sz val="8"/>
            <rFont val="Tahoma"/>
            <family val="2"/>
          </rPr>
          <t>STORELLI:</t>
        </r>
        <r>
          <rPr>
            <sz val="8"/>
            <rFont val="Tahoma"/>
            <family val="2"/>
          </rPr>
          <t xml:space="preserve">
</t>
        </r>
        <r>
          <rPr>
            <sz val="8"/>
            <color indexed="10"/>
            <rFont val="Tahoma"/>
            <family val="2"/>
          </rPr>
          <t>verificare irap cococo 
ok 27/10/2008</t>
        </r>
        <r>
          <rPr>
            <sz val="8"/>
            <rFont val="Tahoma"/>
            <family val="2"/>
          </rPr>
          <t xml:space="preserve">
</t>
        </r>
        <r>
          <rPr>
            <sz val="8"/>
            <color indexed="10"/>
            <rFont val="Tahoma"/>
            <family val="2"/>
          </rPr>
          <t>e comune di foggia</t>
        </r>
      </text>
    </comment>
    <comment ref="C41" authorId="0">
      <text>
        <r>
          <rPr>
            <b/>
            <sz val="8"/>
            <rFont val="Tahoma"/>
            <family val="2"/>
          </rPr>
          <t>STORELLI:</t>
        </r>
        <r>
          <rPr>
            <sz val="8"/>
            <rFont val="Tahoma"/>
            <family val="2"/>
          </rPr>
          <t xml:space="preserve">
quota da liquidare recuperando l'anticipazione
</t>
        </r>
      </text>
    </comment>
    <comment ref="J12" authorId="0">
      <text>
        <r>
          <rPr>
            <b/>
            <sz val="8"/>
            <rFont val="Tahoma"/>
            <family val="2"/>
          </rPr>
          <t>STORELLI:</t>
        </r>
        <r>
          <rPr>
            <sz val="8"/>
            <rFont val="Tahoma"/>
            <family val="2"/>
          </rPr>
          <t xml:space="preserve">
decurtate in fase finale 5,07 euro per aver superato il 5%</t>
        </r>
      </text>
    </comment>
    <comment ref="K31" authorId="0">
      <text>
        <r>
          <rPr>
            <b/>
            <sz val="8"/>
            <rFont val="Tahoma"/>
            <family val="2"/>
          </rPr>
          <t>STORELLI:</t>
        </r>
        <r>
          <rPr>
            <sz val="8"/>
            <rFont val="Tahoma"/>
            <family val="2"/>
          </rPr>
          <t xml:space="preserve">
decurtate in fase finale 5,07 euro per aver superato il 5%</t>
        </r>
      </text>
    </comment>
    <comment ref="C24" authorId="0">
      <text>
        <r>
          <rPr>
            <b/>
            <sz val="8"/>
            <rFont val="Tahoma"/>
            <family val="2"/>
          </rPr>
          <t>STORELLI:</t>
        </r>
        <r>
          <rPr>
            <sz val="8"/>
            <rFont val="Tahoma"/>
            <family val="2"/>
          </rPr>
          <t xml:space="preserve">
decurtate in fase finale 5,07 euro per aver superato il 5%</t>
        </r>
      </text>
    </comment>
    <comment ref="E12" authorId="0">
      <text>
        <r>
          <rPr>
            <b/>
            <sz val="8"/>
            <rFont val="Tahoma"/>
            <family val="2"/>
          </rPr>
          <t>STORELLI:</t>
        </r>
        <r>
          <rPr>
            <sz val="8"/>
            <rFont val="Tahoma"/>
            <family val="2"/>
          </rPr>
          <t xml:space="preserve">
S.G.: decurtate in fase finale 5,07 euro per aver superato il 5%
 - consulenze liberatorie, relazioni tecniche,
 - infrastrutture: liberatorie</t>
        </r>
      </text>
    </comment>
    <comment ref="C12" authorId="0">
      <text>
        <r>
          <rPr>
            <b/>
            <sz val="8"/>
            <rFont val="Tahoma"/>
            <family val="2"/>
          </rPr>
          <t>STORELLI:</t>
        </r>
        <r>
          <rPr>
            <sz val="8"/>
            <rFont val="Tahoma"/>
            <family val="2"/>
          </rPr>
          <t xml:space="preserve">
quota da liquidare recuperando l'anticipazione</t>
        </r>
      </text>
    </comment>
  </commentList>
</comments>
</file>

<file path=xl/comments16.xml><?xml version="1.0" encoding="utf-8"?>
<comments xmlns="http://schemas.openxmlformats.org/spreadsheetml/2006/main">
  <authors>
    <author>STORELLI</author>
  </authors>
  <commentList>
    <comment ref="E11" authorId="0">
      <text>
        <r>
          <rPr>
            <b/>
            <sz val="8"/>
            <rFont val="Tahoma"/>
            <family val="2"/>
          </rPr>
          <t>STORELLI:</t>
        </r>
        <r>
          <rPr>
            <sz val="8"/>
            <rFont val="Tahoma"/>
            <family val="2"/>
          </rPr>
          <t xml:space="preserve">
</t>
        </r>
        <r>
          <rPr>
            <sz val="8"/>
            <color indexed="12"/>
            <rFont val="Tahoma"/>
            <family val="2"/>
          </rPr>
          <t>CUM:</t>
        </r>
        <r>
          <rPr>
            <sz val="8"/>
            <rFont val="Tahoma"/>
            <family val="2"/>
          </rPr>
          <t xml:space="preserve">
- </t>
        </r>
        <r>
          <rPr>
            <sz val="8"/>
            <color indexed="10"/>
            <rFont val="Tahoma"/>
            <family val="2"/>
          </rPr>
          <t>iban</t>
        </r>
        <r>
          <rPr>
            <sz val="8"/>
            <rFont val="Tahoma"/>
            <family val="2"/>
          </rPr>
          <t xml:space="preserve">
</t>
        </r>
        <r>
          <rPr>
            <sz val="8"/>
            <color indexed="10"/>
            <rFont val="Tahoma"/>
            <family val="2"/>
          </rPr>
          <t>- richiesta erogazione contributo
- tabella complessiva partner
- time sheet personale extra losurdo e amministrativi (S.G.)
- calcolo aliquota media oraria (IRAP)</t>
        </r>
        <r>
          <rPr>
            <sz val="8"/>
            <rFont val="Tahoma"/>
            <family val="2"/>
          </rPr>
          <t xml:space="preserve">
- consulenze: relazione, time sheet giornaliero, liberatoria
</t>
        </r>
        <r>
          <rPr>
            <sz val="8"/>
            <color indexed="12"/>
            <rFont val="Tahoma"/>
            <family val="2"/>
          </rPr>
          <t>MATRIX:</t>
        </r>
        <r>
          <rPr>
            <sz val="8"/>
            <rFont val="Tahoma"/>
            <family val="2"/>
          </rPr>
          <t xml:space="preserve">
</t>
        </r>
        <r>
          <rPr>
            <sz val="8"/>
            <color indexed="10"/>
            <rFont val="Tahoma"/>
            <family val="2"/>
          </rPr>
          <t>- calcolo aliquota media oraria (IRAP) 
- f24 - oneri e contributi</t>
        </r>
        <r>
          <rPr>
            <sz val="8"/>
            <rFont val="Tahoma"/>
            <family val="2"/>
          </rPr>
          <t xml:space="preserve">
</t>
        </r>
        <r>
          <rPr>
            <sz val="8"/>
            <color indexed="12"/>
            <rFont val="Tahoma"/>
            <family val="2"/>
          </rPr>
          <t xml:space="preserve">DYRECTA:
</t>
        </r>
        <r>
          <rPr>
            <sz val="8"/>
            <color indexed="10"/>
            <rFont val="Tahoma"/>
            <family val="2"/>
          </rPr>
          <t>- calcolo aliquota media oraria (IRAP)
- alcuni pagamenti di Lamanna e galiano
- cedolini di Galiano
- time sheet alcuni errati rispetto ai complessivi</t>
        </r>
        <r>
          <rPr>
            <sz val="8"/>
            <rFont val="Tahoma"/>
            <family val="2"/>
          </rPr>
          <t xml:space="preserve">
</t>
        </r>
        <r>
          <rPr>
            <sz val="8"/>
            <color indexed="12"/>
            <rFont val="Tahoma"/>
            <family val="2"/>
          </rPr>
          <t>Ferr. Garg.:</t>
        </r>
        <r>
          <rPr>
            <sz val="8"/>
            <rFont val="Tahoma"/>
            <family val="2"/>
          </rPr>
          <t xml:space="preserve">
</t>
        </r>
        <r>
          <rPr>
            <sz val="8"/>
            <color indexed="10"/>
            <rFont val="Tahoma"/>
            <family val="2"/>
          </rPr>
          <t>- calcolo aliquota media oraria (IRAP)</t>
        </r>
        <r>
          <rPr>
            <sz val="8"/>
            <rFont val="Tahoma"/>
            <family val="2"/>
          </rPr>
          <t xml:space="preserve">
- mandati pagamento (D'agostino e Settimo): </t>
        </r>
        <r>
          <rPr>
            <sz val="8"/>
            <color indexed="10"/>
            <rFont val="Tahoma"/>
            <family val="2"/>
          </rPr>
          <t>hanno ancora  inviato i cedolini non timbrati e firmati</t>
        </r>
        <r>
          <rPr>
            <sz val="8"/>
            <rFont val="Tahoma"/>
            <family val="2"/>
          </rPr>
          <t xml:space="preserve"> 
</t>
        </r>
        <r>
          <rPr>
            <sz val="8"/>
            <color indexed="10"/>
            <rFont val="Tahoma"/>
            <family val="2"/>
          </rPr>
          <t>- f24 - oneri e contributi
- libro matricola</t>
        </r>
        <r>
          <rPr>
            <sz val="8"/>
            <rFont val="Tahoma"/>
            <family val="2"/>
          </rPr>
          <t xml:space="preserve">
</t>
        </r>
        <r>
          <rPr>
            <sz val="8"/>
            <color indexed="12"/>
            <rFont val="Tahoma"/>
            <family val="2"/>
          </rPr>
          <t>Ferrotramviaria:</t>
        </r>
        <r>
          <rPr>
            <sz val="8"/>
            <rFont val="Tahoma"/>
            <family val="2"/>
          </rPr>
          <t xml:space="preserve">
</t>
        </r>
        <r>
          <rPr>
            <sz val="8"/>
            <color indexed="10"/>
            <rFont val="Tahoma"/>
            <family val="2"/>
          </rPr>
          <t>- calcolo aliquota media oraria (IRAP)</t>
        </r>
        <r>
          <rPr>
            <sz val="8"/>
            <rFont val="Tahoma"/>
            <family val="2"/>
          </rPr>
          <t xml:space="preserve">
- mandati pagamento: </t>
        </r>
        <r>
          <rPr>
            <sz val="8"/>
            <color indexed="10"/>
            <rFont val="Tahoma"/>
            <family val="2"/>
          </rPr>
          <t xml:space="preserve">hanno ancora  inviato i cedolini non timbrati e firmati </t>
        </r>
        <r>
          <rPr>
            <sz val="8"/>
            <rFont val="Tahoma"/>
            <family val="2"/>
          </rPr>
          <t xml:space="preserve">
</t>
        </r>
        <r>
          <rPr>
            <sz val="8"/>
            <color indexed="10"/>
            <rFont val="Tahoma"/>
            <family val="2"/>
          </rPr>
          <t>- f24 - oneri e contributi</t>
        </r>
        <r>
          <rPr>
            <sz val="8"/>
            <rFont val="Tahoma"/>
            <family val="2"/>
          </rPr>
          <t xml:space="preserve">
</t>
        </r>
      </text>
    </comment>
    <comment ref="C12" authorId="0">
      <text>
        <r>
          <rPr>
            <b/>
            <sz val="8"/>
            <rFont val="Tahoma"/>
            <family val="2"/>
          </rPr>
          <t>STORELLI:</t>
        </r>
        <r>
          <rPr>
            <sz val="8"/>
            <rFont val="Tahoma"/>
            <family val="2"/>
          </rPr>
          <t xml:space="preserve">
da liquidare con il rendiconto finale</t>
        </r>
      </text>
    </comment>
    <comment ref="C41" authorId="0">
      <text>
        <r>
          <rPr>
            <b/>
            <sz val="8"/>
            <rFont val="Tahoma"/>
            <family val="2"/>
          </rPr>
          <t>STORELLI:</t>
        </r>
        <r>
          <rPr>
            <sz val="8"/>
            <rFont val="Tahoma"/>
            <family val="2"/>
          </rPr>
          <t xml:space="preserve">
quota da liquidare recuperando l'anticipazione
</t>
        </r>
      </text>
    </comment>
    <comment ref="F13" authorId="0">
      <text>
        <r>
          <rPr>
            <b/>
            <sz val="8"/>
            <rFont val="Tahoma"/>
            <family val="2"/>
          </rPr>
          <t>STORELLI:</t>
        </r>
        <r>
          <rPr>
            <sz val="8"/>
            <rFont val="Tahoma"/>
            <family val="2"/>
          </rPr>
          <t xml:space="preserve">
quota mir rendiconto finale sommata in personale dipendente
</t>
        </r>
      </text>
    </comment>
    <comment ref="E12" authorId="0">
      <text>
        <r>
          <rPr>
            <b/>
            <sz val="8"/>
            <rFont val="Tahoma"/>
            <family val="2"/>
          </rPr>
          <t>STORELLI:</t>
        </r>
        <r>
          <rPr>
            <sz val="8"/>
            <rFont val="Tahoma"/>
            <family val="2"/>
          </rPr>
          <t xml:space="preserve">
</t>
        </r>
        <r>
          <rPr>
            <sz val="8"/>
            <color indexed="12"/>
            <rFont val="Tahoma"/>
            <family val="2"/>
          </rPr>
          <t>CUM:</t>
        </r>
        <r>
          <rPr>
            <sz val="8"/>
            <rFont val="Tahoma"/>
            <family val="2"/>
          </rPr>
          <t xml:space="preserve">
personale: 
</t>
        </r>
        <r>
          <rPr>
            <sz val="8"/>
            <color indexed="10"/>
            <rFont val="Tahoma"/>
            <family val="2"/>
          </rPr>
          <t>- numeri di mandato MIRWEB difformi dai rendiconti cartacei( tabella corrispondenza)</t>
        </r>
        <r>
          <rPr>
            <sz val="8"/>
            <rFont val="Tahoma"/>
            <family val="2"/>
          </rPr>
          <t xml:space="preserve">
</t>
        </r>
        <r>
          <rPr>
            <sz val="8"/>
            <color indexed="10"/>
            <rFont val="Tahoma"/>
            <family val="2"/>
          </rPr>
          <t>- CRudele manca mandato pagamento settembre 2008</t>
        </r>
        <r>
          <rPr>
            <sz val="8"/>
            <rFont val="Tahoma"/>
            <family val="2"/>
          </rPr>
          <t xml:space="preserve">
S.G.: 
- </t>
        </r>
        <r>
          <rPr>
            <sz val="8"/>
            <color indexed="10"/>
            <rFont val="Tahoma"/>
            <family val="2"/>
          </rPr>
          <t>ammesse solo quelle imputete nel MIRWEB</t>
        </r>
        <r>
          <rPr>
            <sz val="8"/>
            <rFont val="Tahoma"/>
            <family val="2"/>
          </rPr>
          <t xml:space="preserve">
</t>
        </r>
        <r>
          <rPr>
            <sz val="8"/>
            <color indexed="12"/>
            <rFont val="Tahoma"/>
            <family val="2"/>
          </rPr>
          <t>DYRECTA:</t>
        </r>
        <r>
          <rPr>
            <sz val="8"/>
            <rFont val="Tahoma"/>
            <family val="2"/>
          </rPr>
          <t xml:space="preserve">
personale: 
</t>
        </r>
        <r>
          <rPr>
            <sz val="8"/>
            <color indexed="10"/>
            <rFont val="Tahoma"/>
            <family val="2"/>
          </rPr>
          <t>- quote errate sui cedolini timbrati di COSOMATI
- verificare tutti gli altri</t>
        </r>
        <r>
          <rPr>
            <sz val="8"/>
            <rFont val="Tahoma"/>
            <family val="2"/>
          </rPr>
          <t xml:space="preserve">
</t>
        </r>
        <r>
          <rPr>
            <sz val="8"/>
            <color indexed="12"/>
            <rFont val="Tahoma"/>
            <family val="2"/>
          </rPr>
          <t>Ferr. Garg.:</t>
        </r>
        <r>
          <rPr>
            <sz val="8"/>
            <rFont val="Tahoma"/>
            <family val="2"/>
          </rPr>
          <t xml:space="preserve">
- mancano mandati pagamento stipendi
-  i cedolini non timbrati e firmati 
</t>
        </r>
        <r>
          <rPr>
            <sz val="8"/>
            <color indexed="12"/>
            <rFont val="Tahoma"/>
            <family val="2"/>
          </rPr>
          <t>Ferrotramviaria:</t>
        </r>
        <r>
          <rPr>
            <sz val="8"/>
            <rFont val="Tahoma"/>
            <family val="2"/>
          </rPr>
          <t xml:space="preserve">
- mancano mandati pagamento stipendi
-  i cedolini non timbrati e firmati 
</t>
        </r>
        <r>
          <rPr>
            <sz val="8"/>
            <color indexed="12"/>
            <rFont val="Tahoma"/>
            <family val="2"/>
          </rPr>
          <t>Ferr. SUDEST:</t>
        </r>
        <r>
          <rPr>
            <sz val="8"/>
            <rFont val="Tahoma"/>
            <family val="2"/>
          </rPr>
          <t xml:space="preserve">
Mancano 
- mancano mandati pagamento stipendi
-  i cedolini  timbrati e firmati
- F24</t>
        </r>
      </text>
    </comment>
  </commentList>
</comments>
</file>

<file path=xl/comments17.xml><?xml version="1.0" encoding="utf-8"?>
<comments xmlns="http://schemas.openxmlformats.org/spreadsheetml/2006/main">
  <authors>
    <author>STORELLI</author>
    <author>storelli</author>
  </authors>
  <commentList>
    <comment ref="C10" authorId="0">
      <text>
        <r>
          <rPr>
            <b/>
            <sz val="8"/>
            <rFont val="Tahoma"/>
            <family val="2"/>
          </rPr>
          <t>STORELLI:</t>
        </r>
        <r>
          <rPr>
            <sz val="8"/>
            <rFont val="Tahoma"/>
            <family val="2"/>
          </rPr>
          <t xml:space="preserve">
da liquidare con il rendiconto finale</t>
        </r>
      </text>
    </comment>
    <comment ref="C11" authorId="1">
      <text>
        <r>
          <rPr>
            <b/>
            <sz val="8"/>
            <rFont val="Tahoma"/>
            <family val="0"/>
          </rPr>
          <t>storelli:</t>
        </r>
        <r>
          <rPr>
            <sz val="8"/>
            <rFont val="Tahoma"/>
            <family val="0"/>
          </rPr>
          <t xml:space="preserve">
da liquidare con il rendiconto finale</t>
        </r>
      </text>
    </comment>
    <comment ref="C42" authorId="0">
      <text>
        <r>
          <rPr>
            <b/>
            <sz val="8"/>
            <rFont val="Tahoma"/>
            <family val="2"/>
          </rPr>
          <t>STORELLI:</t>
        </r>
        <r>
          <rPr>
            <sz val="8"/>
            <rFont val="Tahoma"/>
            <family val="2"/>
          </rPr>
          <t xml:space="preserve">
quota da liquidare recuperando l'anticipazione
</t>
        </r>
      </text>
    </comment>
    <comment ref="E36" authorId="1">
      <text>
        <r>
          <rPr>
            <b/>
            <sz val="8"/>
            <rFont val="Tahoma"/>
            <family val="0"/>
          </rPr>
          <t>storelli:</t>
        </r>
        <r>
          <rPr>
            <sz val="8"/>
            <rFont val="Tahoma"/>
            <family val="0"/>
          </rPr>
          <t xml:space="preserve">
da liquidare a collaudo
</t>
        </r>
      </text>
    </comment>
  </commentList>
</comments>
</file>

<file path=xl/comments18.xml><?xml version="1.0" encoding="utf-8"?>
<comments xmlns="http://schemas.openxmlformats.org/spreadsheetml/2006/main">
  <authors>
    <author>storelli</author>
  </authors>
  <commentList>
    <comment ref="E10" authorId="0">
      <text>
        <r>
          <rPr>
            <b/>
            <sz val="8"/>
            <rFont val="Tahoma"/>
            <family val="2"/>
          </rPr>
          <t>storelli:</t>
        </r>
        <r>
          <rPr>
            <sz val="8"/>
            <rFont val="Tahoma"/>
            <family val="2"/>
          </rPr>
          <t xml:space="preserve">
manca:
 - richiesta erogazione contributo
</t>
        </r>
        <r>
          <rPr>
            <sz val="8"/>
            <color indexed="39"/>
            <rFont val="Tahoma"/>
            <family val="2"/>
          </rPr>
          <t>Personale:</t>
        </r>
        <r>
          <rPr>
            <sz val="8"/>
            <rFont val="Tahoma"/>
            <family val="2"/>
          </rPr>
          <t xml:space="preserve">
 - calcolo aliquota
 - f24 e copia reversali
</t>
        </r>
        <r>
          <rPr>
            <sz val="8"/>
            <color indexed="39"/>
            <rFont val="Tahoma"/>
            <family val="2"/>
          </rPr>
          <t>Consulenze:</t>
        </r>
        <r>
          <rPr>
            <sz val="8"/>
            <rFont val="Tahoma"/>
            <family val="2"/>
          </rPr>
          <t xml:space="preserve">
 - liberatorie, curriculum/profilo, modalità di selezione per Polyconsulting e Magi
 - importo Magi &gt; 450 euro x gg
 - liberatorie, curriculum, modalità di selezione, copia reversale per De Angelis, Arrobino, Morone
</t>
        </r>
        <r>
          <rPr>
            <sz val="8"/>
            <color indexed="39"/>
            <rFont val="Tahoma"/>
            <family val="2"/>
          </rPr>
          <t>Nolo/leasing:</t>
        </r>
        <r>
          <rPr>
            <sz val="8"/>
            <rFont val="Tahoma"/>
            <family val="2"/>
          </rPr>
          <t xml:space="preserve">
 - liberatorie, offerta, modalità selezione per Geosystem</t>
        </r>
      </text>
    </comment>
  </commentList>
</comments>
</file>

<file path=xl/comments3.xml><?xml version="1.0" encoding="utf-8"?>
<comments xmlns="http://schemas.openxmlformats.org/spreadsheetml/2006/main">
  <authors>
    <author>STORELLI</author>
    <author>storelli</author>
  </authors>
  <commentList>
    <comment ref="C43" authorId="0">
      <text>
        <r>
          <rPr>
            <b/>
            <sz val="8"/>
            <rFont val="Tahoma"/>
            <family val="2"/>
          </rPr>
          <t>STORELLI:</t>
        </r>
        <r>
          <rPr>
            <sz val="8"/>
            <rFont val="Tahoma"/>
            <family val="2"/>
          </rPr>
          <t xml:space="preserve">
quota da liquidare recuperando l'anticipazione
</t>
        </r>
      </text>
    </comment>
    <comment ref="J12" authorId="0">
      <text>
        <r>
          <rPr>
            <b/>
            <sz val="8"/>
            <rFont val="Tahoma"/>
            <family val="2"/>
          </rPr>
          <t>STORELLI:</t>
        </r>
        <r>
          <rPr>
            <sz val="8"/>
            <rFont val="Tahoma"/>
            <family val="2"/>
          </rPr>
          <t xml:space="preserve">
decurtate in fase finale 2258,09 euro per aver superato il 5%</t>
        </r>
      </text>
    </comment>
    <comment ref="E12" authorId="0">
      <text>
        <r>
          <rPr>
            <b/>
            <sz val="8"/>
            <rFont val="Tahoma"/>
            <family val="2"/>
          </rPr>
          <t>STORELLI:</t>
        </r>
        <r>
          <rPr>
            <sz val="8"/>
            <rFont val="Tahoma"/>
            <family val="2"/>
          </rPr>
          <t xml:space="preserve">
S.G.: decurtate in fase finale 2258,09 euro per aver superato il 5%
 - Consulenze: Manca liberatoria CCBC, time sheet, liberatoria GET, liberatoria WAVE-A-HEAD, liberatoria GELSOROSSO, QUORUM, VIDEO NEWS(relazione, time sheet, curricula), RAI, EMI MUSIC, NIGRO, PATRUNO
 - Nolo: liberatorie
 - TESEO: consulenza contratto, liberatoria curriculum, relazione
</t>
        </r>
      </text>
    </comment>
    <comment ref="I34" authorId="0">
      <text>
        <r>
          <rPr>
            <b/>
            <sz val="8"/>
            <rFont val="Tahoma"/>
            <family val="2"/>
          </rPr>
          <t>STORELLI:</t>
        </r>
        <r>
          <rPr>
            <sz val="8"/>
            <rFont val="Tahoma"/>
            <family val="2"/>
          </rPr>
          <t xml:space="preserve">
decurtate in fase finale 2258,09 euro per aver superato il 5%</t>
        </r>
      </text>
    </comment>
    <comment ref="C32" authorId="0">
      <text>
        <r>
          <rPr>
            <b/>
            <sz val="8"/>
            <rFont val="Tahoma"/>
            <family val="2"/>
          </rPr>
          <t>STORELLI:</t>
        </r>
        <r>
          <rPr>
            <sz val="8"/>
            <rFont val="Tahoma"/>
            <family val="2"/>
          </rPr>
          <t xml:space="preserve">
utilizzato per ulteriori attività e risultati di valorizzazione Reg. Piemonte
</t>
        </r>
      </text>
    </comment>
    <comment ref="D32" authorId="0">
      <text>
        <r>
          <rPr>
            <b/>
            <sz val="8"/>
            <rFont val="Tahoma"/>
            <family val="2"/>
          </rPr>
          <t>STORELLI:</t>
        </r>
        <r>
          <rPr>
            <sz val="8"/>
            <rFont val="Tahoma"/>
            <family val="2"/>
          </rPr>
          <t xml:space="preserve">
utilizzato per ulteriori attività e risultati di valorizzazione Reg. Piemonte
</t>
        </r>
      </text>
    </comment>
    <comment ref="C54" authorId="0">
      <text>
        <r>
          <rPr>
            <b/>
            <sz val="8"/>
            <rFont val="Tahoma"/>
            <family val="2"/>
          </rPr>
          <t>STORELLI:</t>
        </r>
        <r>
          <rPr>
            <sz val="8"/>
            <rFont val="Tahoma"/>
            <family val="2"/>
          </rPr>
          <t xml:space="preserve">
quota da liquidare recuperando l'anticipazione
</t>
        </r>
      </text>
    </comment>
    <comment ref="E13" authorId="1">
      <text>
        <r>
          <rPr>
            <b/>
            <sz val="8"/>
            <rFont val="Tahoma"/>
            <family val="0"/>
          </rPr>
          <t>storelli:</t>
        </r>
        <r>
          <rPr>
            <sz val="8"/>
            <rFont val="Tahoma"/>
            <family val="0"/>
          </rPr>
          <t xml:space="preserve">
 - Consulenze: Manca liberatoria e time sheet Moro
 - Personale: mandati stipendi e f24 e mandati oneri e contributi
 </t>
        </r>
        <r>
          <rPr>
            <sz val="8"/>
            <color indexed="10"/>
            <rFont val="Tahoma"/>
            <family val="2"/>
          </rPr>
          <t>- richiesta erogazione contributo</t>
        </r>
      </text>
    </comment>
  </commentList>
</comments>
</file>

<file path=xl/comments4.xml><?xml version="1.0" encoding="utf-8"?>
<comments xmlns="http://schemas.openxmlformats.org/spreadsheetml/2006/main">
  <authors>
    <author>STORELLI</author>
  </authors>
  <commentList>
    <comment ref="E12" authorId="0">
      <text>
        <r>
          <rPr>
            <b/>
            <sz val="8"/>
            <rFont val="Tahoma"/>
            <family val="2"/>
          </rPr>
          <t>STORELLI:</t>
        </r>
        <r>
          <rPr>
            <sz val="8"/>
            <rFont val="Tahoma"/>
            <family val="2"/>
          </rPr>
          <t xml:space="preserve">
mancano:
</t>
        </r>
        <r>
          <rPr>
            <sz val="8"/>
            <color indexed="10"/>
            <rFont val="Tahoma"/>
            <family val="2"/>
          </rPr>
          <t>- liberatoria Strade
- time sheet Strade
- relazione attività Strade (ok 17/09/2008)</t>
        </r>
        <r>
          <rPr>
            <sz val="8"/>
            <rFont val="Tahoma"/>
            <family val="2"/>
          </rPr>
          <t xml:space="preserve">
</t>
        </r>
        <r>
          <rPr>
            <sz val="8"/>
            <color indexed="10"/>
            <rFont val="Tahoma"/>
            <family val="2"/>
          </rPr>
          <t>- pagata IRAP di Febb. e Marzo che sarà decurtata nel prossimo rendiconto (da S.G.) pari a euro 775,17</t>
        </r>
      </text>
    </comment>
    <comment ref="J13" authorId="0">
      <text>
        <r>
          <rPr>
            <b/>
            <sz val="8"/>
            <rFont val="Tahoma"/>
            <family val="2"/>
          </rPr>
          <t>STORELLI:</t>
        </r>
        <r>
          <rPr>
            <sz val="8"/>
            <rFont val="Tahoma"/>
            <family val="2"/>
          </rPr>
          <t xml:space="preserve">
compensata Irap 775,17 precedente rendiconto febb-aprile 2008 con Merola Stella da S.G.</t>
        </r>
      </text>
    </comment>
    <comment ref="J34" authorId="0">
      <text>
        <r>
          <rPr>
            <b/>
            <sz val="8"/>
            <rFont val="Tahoma"/>
            <family val="2"/>
          </rPr>
          <t>STORELLI:</t>
        </r>
        <r>
          <rPr>
            <sz val="8"/>
            <rFont val="Tahoma"/>
            <family val="2"/>
          </rPr>
          <t xml:space="preserve">
compensata Irap 775,17 precedente rendiconto febb-aprile 2008 con Merola Stella da S.G.</t>
        </r>
      </text>
    </comment>
    <comment ref="C44" authorId="0">
      <text>
        <r>
          <rPr>
            <b/>
            <sz val="8"/>
            <rFont val="Tahoma"/>
            <family val="2"/>
          </rPr>
          <t>STORELLI:</t>
        </r>
        <r>
          <rPr>
            <sz val="8"/>
            <rFont val="Tahoma"/>
            <family val="2"/>
          </rPr>
          <t xml:space="preserve">
quota da liquidare recuperando l'anticipazione
</t>
        </r>
      </text>
    </comment>
    <comment ref="C26" authorId="0">
      <text>
        <r>
          <rPr>
            <b/>
            <sz val="8"/>
            <rFont val="Tahoma"/>
            <family val="2"/>
          </rPr>
          <t>STORELLI:</t>
        </r>
        <r>
          <rPr>
            <sz val="8"/>
            <rFont val="Tahoma"/>
            <family val="2"/>
          </rPr>
          <t xml:space="preserve">
compensata Irap 775,17 precedente rendiconto febb-aprile 2008 con Merola Stella da S.G.</t>
        </r>
      </text>
    </comment>
    <comment ref="E13" authorId="0">
      <text>
        <r>
          <rPr>
            <b/>
            <sz val="8"/>
            <rFont val="Tahoma"/>
            <family val="2"/>
          </rPr>
          <t>STORELLI:</t>
        </r>
        <r>
          <rPr>
            <sz val="8"/>
            <rFont val="Tahoma"/>
            <family val="2"/>
          </rPr>
          <t xml:space="preserve">
compensata Irap 775,17 precedente rendiconto febb-aprile 2008 con Merola Stella da S.G.
</t>
        </r>
        <r>
          <rPr>
            <sz val="8"/>
            <color indexed="12"/>
            <rFont val="Tahoma"/>
            <family val="2"/>
          </rPr>
          <t>DSPD:</t>
        </r>
        <r>
          <rPr>
            <sz val="8"/>
            <rFont val="Tahoma"/>
            <family val="2"/>
          </rPr>
          <t xml:space="preserve">
 - numeri dei mandati sul mir non corrispondenti a quelli cartacei
 - mancano cedolini dei cococo; ci sono solo quelli di settembre che accumulano tutto
</t>
        </r>
        <r>
          <rPr>
            <sz val="8"/>
            <color indexed="12"/>
            <rFont val="Tahoma"/>
            <family val="2"/>
          </rPr>
          <t>DI:</t>
        </r>
        <r>
          <rPr>
            <sz val="8"/>
            <rFont val="Tahoma"/>
            <family val="2"/>
          </rPr>
          <t xml:space="preserve">
 - mancano cedolini dei cococo; ci sono solo quelli di settembre che accumulano tutto
</t>
        </r>
      </text>
    </comment>
  </commentList>
</comments>
</file>

<file path=xl/comments5.xml><?xml version="1.0" encoding="utf-8"?>
<comments xmlns="http://schemas.openxmlformats.org/spreadsheetml/2006/main">
  <authors>
    <author>STORELLI</author>
    <author>storelli</author>
  </authors>
  <commentList>
    <comment ref="E10" authorId="0">
      <text>
        <r>
          <rPr>
            <b/>
            <sz val="8"/>
            <rFont val="Tahoma"/>
            <family val="2"/>
          </rPr>
          <t>STORELLI:</t>
        </r>
        <r>
          <rPr>
            <sz val="8"/>
            <rFont val="Tahoma"/>
            <family val="2"/>
          </rPr>
          <t xml:space="preserve">
PARZIALE
OK - 22/05/2008
 - spese notarili non ammesse
 - la spesa dei server è stata in via provvisoria riconosciuta al 100% in previsione di una eventuale proroga del progetto che
porterebbe il periodo di ammortamento a 11+21=32mesi
 - costi di missione per consulenti non ammessi
 - la quota di personale esposta per Di Stefano pari a euro 1520,16 è stata ammessa nel mir come personale, ma per il monitoraggio della spesa è a valere sulla quota di spese generali.</t>
        </r>
      </text>
    </comment>
    <comment ref="J12" authorId="0">
      <text>
        <r>
          <rPr>
            <b/>
            <sz val="8"/>
            <rFont val="Tahoma"/>
            <family val="2"/>
          </rPr>
          <t>STORELLI:</t>
        </r>
        <r>
          <rPr>
            <sz val="8"/>
            <rFont val="Tahoma"/>
            <family val="2"/>
          </rPr>
          <t xml:space="preserve">
decurtate in fase finale 17233,62 euro per aver superato il 5%</t>
        </r>
      </text>
    </comment>
    <comment ref="J30" authorId="0">
      <text>
        <r>
          <rPr>
            <b/>
            <sz val="8"/>
            <rFont val="Tahoma"/>
            <family val="2"/>
          </rPr>
          <t>STORELLI:</t>
        </r>
        <r>
          <rPr>
            <sz val="8"/>
            <rFont val="Tahoma"/>
            <family val="2"/>
          </rPr>
          <t xml:space="preserve">
decurtate in fase finale 17233,62 euro per aver superato il 5%</t>
        </r>
      </text>
    </comment>
    <comment ref="E12" authorId="0">
      <text>
        <r>
          <rPr>
            <b/>
            <sz val="8"/>
            <rFont val="Tahoma"/>
            <family val="2"/>
          </rPr>
          <t>STORELLI:</t>
        </r>
        <r>
          <rPr>
            <sz val="8"/>
            <rFont val="Tahoma"/>
            <family val="2"/>
          </rPr>
          <t xml:space="preserve">
 - Sono stati decurtati 17233,62 euro da S.G &gt; 5% 
 - </t>
        </r>
        <r>
          <rPr>
            <sz val="8"/>
            <color indexed="12"/>
            <rFont val="Tahoma"/>
            <family val="2"/>
          </rPr>
          <t>FORCOM</t>
        </r>
        <r>
          <rPr>
            <sz val="8"/>
            <color indexed="10"/>
            <rFont val="Tahoma"/>
            <family val="2"/>
          </rPr>
          <t>: Manca contratto di noleggio HYDRUSA</t>
        </r>
        <r>
          <rPr>
            <sz val="8"/>
            <rFont val="Tahoma"/>
            <family val="2"/>
          </rPr>
          <t xml:space="preserve">
 - </t>
        </r>
        <r>
          <rPr>
            <sz val="8"/>
            <color indexed="12"/>
            <rFont val="Tahoma"/>
            <family val="2"/>
          </rPr>
          <t>Grecia Salentina</t>
        </r>
        <r>
          <rPr>
            <sz val="8"/>
            <rFont val="Tahoma"/>
            <family val="2"/>
          </rPr>
          <t xml:space="preserve">: 
            Mancano cedolini del personale,
            Mancano contratti e tre preventivi delle consulenze PROTEM e VISION
 - </t>
        </r>
        <r>
          <rPr>
            <sz val="8"/>
            <color indexed="12"/>
            <rFont val="Tahoma"/>
            <family val="2"/>
          </rPr>
          <t>GALILEO</t>
        </r>
        <r>
          <rPr>
            <sz val="8"/>
            <rFont val="Tahoma"/>
            <family val="2"/>
          </rPr>
          <t xml:space="preserve">: </t>
        </r>
        <r>
          <rPr>
            <sz val="8"/>
            <color indexed="10"/>
            <rFont val="Tahoma"/>
            <family val="2"/>
          </rPr>
          <t>Manca la documentazione prevista per Nolo e Leasing</t>
        </r>
        <r>
          <rPr>
            <sz val="8"/>
            <rFont val="Tahoma"/>
            <family val="2"/>
          </rPr>
          <t xml:space="preserve">
</t>
        </r>
      </text>
    </comment>
    <comment ref="C14" authorId="0">
      <text>
        <r>
          <rPr>
            <b/>
            <sz val="8"/>
            <rFont val="Tahoma"/>
            <family val="2"/>
          </rPr>
          <t>STORELLI:</t>
        </r>
        <r>
          <rPr>
            <sz val="8"/>
            <rFont val="Tahoma"/>
            <family val="2"/>
          </rPr>
          <t xml:space="preserve">
ok perché riferito alla spesa effettuata</t>
        </r>
      </text>
    </comment>
    <comment ref="C24" authorId="1">
      <text>
        <r>
          <rPr>
            <b/>
            <sz val="8"/>
            <rFont val="Tahoma"/>
            <family val="2"/>
          </rPr>
          <t>storelli:</t>
        </r>
        <r>
          <rPr>
            <sz val="8"/>
            <rFont val="Tahoma"/>
            <family val="2"/>
          </rPr>
          <t xml:space="preserve">
decurtate in fase finale 17233,62 euro per aver superato il 5%</t>
        </r>
      </text>
    </comment>
    <comment ref="D35" authorId="1">
      <text>
        <r>
          <rPr>
            <b/>
            <sz val="8"/>
            <rFont val="Tahoma"/>
            <family val="0"/>
          </rPr>
          <t>storelli:</t>
        </r>
        <r>
          <rPr>
            <sz val="8"/>
            <rFont val="Tahoma"/>
            <family val="0"/>
          </rPr>
          <t xml:space="preserve">
differenza non liquidata per ultima spesa mir</t>
        </r>
      </text>
    </comment>
    <comment ref="E35" authorId="1">
      <text>
        <r>
          <rPr>
            <b/>
            <sz val="8"/>
            <rFont val="Tahoma"/>
            <family val="0"/>
          </rPr>
          <t>storelli:</t>
        </r>
        <r>
          <rPr>
            <sz val="8"/>
            <rFont val="Tahoma"/>
            <family val="0"/>
          </rPr>
          <t xml:space="preserve">
da liquidare al collaudo
</t>
        </r>
      </text>
    </comment>
  </commentList>
</comments>
</file>

<file path=xl/comments6.xml><?xml version="1.0" encoding="utf-8"?>
<comments xmlns="http://schemas.openxmlformats.org/spreadsheetml/2006/main">
  <authors>
    <author>STORELLI</author>
  </authors>
  <commentList>
    <comment ref="E10" authorId="0">
      <text>
        <r>
          <rPr>
            <b/>
            <sz val="8"/>
            <rFont val="Tahoma"/>
            <family val="2"/>
          </rPr>
          <t>STORELLI:</t>
        </r>
        <r>
          <rPr>
            <sz val="8"/>
            <rFont val="Tahoma"/>
            <family val="2"/>
          </rPr>
          <t xml:space="preserve">
</t>
        </r>
        <r>
          <rPr>
            <sz val="8"/>
            <color indexed="10"/>
            <rFont val="Tahoma"/>
            <family val="2"/>
          </rPr>
          <t>mancano tabelle corrette e  cedolini corretti secondo imputazioni mirweb</t>
        </r>
        <r>
          <rPr>
            <sz val="8"/>
            <rFont val="Tahoma"/>
            <family val="2"/>
          </rPr>
          <t>-</t>
        </r>
        <r>
          <rPr>
            <sz val="8"/>
            <color indexed="10"/>
            <rFont val="Tahoma"/>
            <family val="2"/>
          </rPr>
          <t xml:space="preserve">OK - 25/7/2008
</t>
        </r>
        <r>
          <rPr>
            <sz val="8"/>
            <rFont val="Tahoma"/>
            <family val="2"/>
          </rPr>
          <t>istruttoria consulenti</t>
        </r>
        <r>
          <rPr>
            <sz val="8"/>
            <rFont val="Tahoma"/>
            <family val="2"/>
          </rPr>
          <t xml:space="preserve">
</t>
        </r>
      </text>
    </comment>
    <comment ref="C11" authorId="0">
      <text>
        <r>
          <rPr>
            <b/>
            <sz val="8"/>
            <rFont val="Tahoma"/>
            <family val="2"/>
          </rPr>
          <t>STORELLI:</t>
        </r>
        <r>
          <rPr>
            <sz val="8"/>
            <rFont val="Tahoma"/>
            <family val="2"/>
          </rPr>
          <t xml:space="preserve">
da liquidare con rendiconto finale
decurtata la quota pari a 11843,59 euro, eccedente il 65% contributo concesso </t>
        </r>
      </text>
    </comment>
    <comment ref="G15" authorId="0">
      <text>
        <r>
          <rPr>
            <b/>
            <sz val="8"/>
            <rFont val="Tahoma"/>
            <family val="2"/>
          </rPr>
          <t>STORELLI:</t>
        </r>
        <r>
          <rPr>
            <sz val="8"/>
            <rFont val="Tahoma"/>
            <family val="2"/>
          </rPr>
          <t xml:space="preserve">
nel mir risulta altre spese e imprevisti ma si configura come consulenza</t>
        </r>
      </text>
    </comment>
    <comment ref="G13" authorId="0">
      <text>
        <r>
          <rPr>
            <b/>
            <sz val="8"/>
            <rFont val="Tahoma"/>
            <family val="2"/>
          </rPr>
          <t>STORELLI:</t>
        </r>
        <r>
          <rPr>
            <sz val="8"/>
            <rFont val="Tahoma"/>
            <family val="2"/>
          </rPr>
          <t xml:space="preserve">
decurtato il mandato 252 pari a 890,39  a compensazione della errata imputazione del precedente rendiconto IV del mandato 228</t>
        </r>
      </text>
    </comment>
    <comment ref="E31" authorId="0">
      <text>
        <r>
          <rPr>
            <b/>
            <sz val="8"/>
            <rFont val="Tahoma"/>
            <family val="2"/>
          </rPr>
          <t>STORELLI:</t>
        </r>
        <r>
          <rPr>
            <sz val="8"/>
            <rFont val="Tahoma"/>
            <family val="2"/>
          </rPr>
          <t xml:space="preserve">
decurtato il mandato 252 pari a 890,39  a compensazione della errata imputazione del precedente rendiconto IV del mandato 228 di 455,28
</t>
        </r>
      </text>
    </comment>
  </commentList>
</comments>
</file>

<file path=xl/comments7.xml><?xml version="1.0" encoding="utf-8"?>
<comments xmlns="http://schemas.openxmlformats.org/spreadsheetml/2006/main">
  <authors>
    <author>STORELLI</author>
    <author>storelli</author>
  </authors>
  <commentList>
    <comment ref="J11" authorId="0">
      <text>
        <r>
          <rPr>
            <b/>
            <sz val="8"/>
            <rFont val="Tahoma"/>
            <family val="2"/>
          </rPr>
          <t>STORELLI:</t>
        </r>
        <r>
          <rPr>
            <sz val="8"/>
            <rFont val="Tahoma"/>
            <family val="2"/>
          </rPr>
          <t xml:space="preserve">
non ammissibili costi missione per consulenti: iavernaro</t>
        </r>
      </text>
    </comment>
    <comment ref="C11" authorId="0">
      <text>
        <r>
          <rPr>
            <b/>
            <sz val="8"/>
            <rFont val="Tahoma"/>
            <family val="2"/>
          </rPr>
          <t>STORELLI:</t>
        </r>
        <r>
          <rPr>
            <sz val="8"/>
            <rFont val="Tahoma"/>
            <family val="2"/>
          </rPr>
          <t xml:space="preserve">
decurtata la quota pari a 2300,76 euro, eccedente il 65% contributo concesso </t>
        </r>
      </text>
    </comment>
    <comment ref="C42" authorId="0">
      <text>
        <r>
          <rPr>
            <b/>
            <sz val="8"/>
            <rFont val="Tahoma"/>
            <family val="2"/>
          </rPr>
          <t>STORELLI:</t>
        </r>
        <r>
          <rPr>
            <sz val="8"/>
            <rFont val="Tahoma"/>
            <family val="2"/>
          </rPr>
          <t xml:space="preserve">
quota da liquidare recuperando l'anticipazione
</t>
        </r>
      </text>
    </comment>
    <comment ref="E37" authorId="1">
      <text>
        <r>
          <rPr>
            <b/>
            <sz val="8"/>
            <rFont val="Tahoma"/>
            <family val="2"/>
          </rPr>
          <t>storelli:</t>
        </r>
        <r>
          <rPr>
            <sz val="8"/>
            <rFont val="Tahoma"/>
            <family val="2"/>
          </rPr>
          <t xml:space="preserve">
quota residua a collaudo</t>
        </r>
      </text>
    </comment>
  </commentList>
</comments>
</file>

<file path=xl/comments8.xml><?xml version="1.0" encoding="utf-8"?>
<comments xmlns="http://schemas.openxmlformats.org/spreadsheetml/2006/main">
  <authors>
    <author>STORELLI</author>
    <author>storelli</author>
  </authors>
  <commentList>
    <comment ref="C20" authorId="0">
      <text>
        <r>
          <rPr>
            <b/>
            <sz val="8"/>
            <rFont val="Tahoma"/>
            <family val="2"/>
          </rPr>
          <t>STORELLI:</t>
        </r>
        <r>
          <rPr>
            <sz val="8"/>
            <rFont val="Tahoma"/>
            <family val="2"/>
          </rPr>
          <t xml:space="preserve">
da progetto esecutivo approvato</t>
        </r>
      </text>
    </comment>
    <comment ref="J10" authorId="0">
      <text>
        <r>
          <rPr>
            <b/>
            <sz val="8"/>
            <rFont val="Tahoma"/>
            <family val="2"/>
          </rPr>
          <t>STORELLI:</t>
        </r>
        <r>
          <rPr>
            <sz val="8"/>
            <rFont val="Tahoma"/>
            <family val="2"/>
          </rPr>
          <t xml:space="preserve">
753 euro per spese notarili non ammessi vedi linee guida</t>
        </r>
      </text>
    </comment>
    <comment ref="E10" authorId="0">
      <text>
        <r>
          <rPr>
            <b/>
            <sz val="8"/>
            <rFont val="Tahoma"/>
            <family val="2"/>
          </rPr>
          <t>STORELLI:</t>
        </r>
        <r>
          <rPr>
            <sz val="8"/>
            <rFont val="Tahoma"/>
            <family val="2"/>
          </rPr>
          <t xml:space="preserve">
parziale 17/06/2008:
- spese notarili non ammesse
- Costi meridionale servizi non ammessi, manca imputazione mirweb
</t>
        </r>
        <r>
          <rPr>
            <sz val="8"/>
            <color indexed="10"/>
            <rFont val="Tahoma"/>
            <family val="2"/>
          </rPr>
          <t>- manca liberatoria Microlaben e SRC</t>
        </r>
      </text>
    </comment>
    <comment ref="E11" authorId="0">
      <text>
        <r>
          <rPr>
            <b/>
            <sz val="8"/>
            <rFont val="Tahoma"/>
            <family val="2"/>
          </rPr>
          <t>STORELLI:</t>
        </r>
        <r>
          <rPr>
            <sz val="8"/>
            <rFont val="Tahoma"/>
            <family val="2"/>
          </rPr>
          <t xml:space="preserve">
</t>
        </r>
        <r>
          <rPr>
            <sz val="8"/>
            <color indexed="10"/>
            <rFont val="Tahoma"/>
            <family val="2"/>
          </rPr>
          <t xml:space="preserve">  Irap da decurtare prossimo rendiconto pari a euro 3872,01</t>
        </r>
        <r>
          <rPr>
            <sz val="8"/>
            <rFont val="Tahoma"/>
            <family val="2"/>
          </rPr>
          <t xml:space="preserve">
mancano: 
 </t>
        </r>
        <r>
          <rPr>
            <sz val="8"/>
            <color indexed="10"/>
            <rFont val="Tahoma"/>
            <family val="2"/>
          </rPr>
          <t>- rapporti tecnici di chiusura attività nel periodo</t>
        </r>
        <r>
          <rPr>
            <sz val="8"/>
            <rFont val="Tahoma"/>
            <family val="2"/>
          </rPr>
          <t xml:space="preserve">
 - </t>
        </r>
        <r>
          <rPr>
            <sz val="8"/>
            <color indexed="10"/>
            <rFont val="Tahoma"/>
            <family val="2"/>
          </rPr>
          <t xml:space="preserve">riformulare tabella costi riepilogativa </t>
        </r>
        <r>
          <rPr>
            <sz val="8"/>
            <rFont val="Tahoma"/>
            <family val="2"/>
          </rPr>
          <t xml:space="preserve">e di meridionale serviziper importo di 2497,53
</t>
        </r>
        <r>
          <rPr>
            <sz val="8"/>
            <color indexed="10"/>
            <rFont val="Tahoma"/>
            <family val="2"/>
          </rPr>
          <t xml:space="preserve"> - DSSM: tabella riepilogativa mensile personale; IRAP calcolata da decurtare nel prossimo rendiconto</t>
        </r>
        <r>
          <rPr>
            <sz val="8"/>
            <rFont val="Tahoma"/>
            <family val="2"/>
          </rPr>
          <t xml:space="preserve">
 - DI: consulenze - relazione, liberatoria, time sheet, curriculum/profilo, </t>
        </r>
        <r>
          <rPr>
            <sz val="8"/>
            <color indexed="10"/>
            <rFont val="Tahoma"/>
            <family val="2"/>
          </rPr>
          <t>IRAP calcolata da decurtare nel prossimo rendiconto</t>
        </r>
        <r>
          <rPr>
            <sz val="8"/>
            <rFont val="Tahoma"/>
            <family val="2"/>
          </rPr>
          <t xml:space="preserve">
</t>
        </r>
        <r>
          <rPr>
            <sz val="8"/>
            <color indexed="10"/>
            <rFont val="Tahoma"/>
            <family val="2"/>
          </rPr>
          <t xml:space="preserve"> - DEE: verificare IRAP</t>
        </r>
        <r>
          <rPr>
            <sz val="8"/>
            <rFont val="Tahoma"/>
            <family val="2"/>
          </rPr>
          <t xml:space="preserve">
 - </t>
        </r>
        <r>
          <rPr>
            <sz val="8"/>
            <color indexed="10"/>
            <rFont val="Tahoma"/>
            <family val="2"/>
          </rPr>
          <t>Confcooperative: timbro e firma su distinte di pagamento, IRAP calcolata da decurtare nel prossimo rendiconto</t>
        </r>
        <r>
          <rPr>
            <sz val="8"/>
            <rFont val="Tahoma"/>
            <family val="2"/>
          </rPr>
          <t xml:space="preserve">
</t>
        </r>
        <r>
          <rPr>
            <sz val="8"/>
            <color indexed="10"/>
            <rFont val="Tahoma"/>
            <family val="2"/>
          </rPr>
          <t xml:space="preserve"> - Merid. Serv.: timbro e firma su distinte di pagamento</t>
        </r>
        <r>
          <rPr>
            <sz val="8"/>
            <rFont val="Tahoma"/>
            <family val="2"/>
          </rPr>
          <t xml:space="preserve">
</t>
        </r>
        <r>
          <rPr>
            <sz val="8"/>
            <color indexed="10"/>
            <rFont val="Tahoma"/>
            <family val="2"/>
          </rPr>
          <t xml:space="preserve"> - COIMBA: timbro e firma su distinte di pagamento, IRAP calcolata da decurtare nel prossimo rendiconto</t>
        </r>
      </text>
    </comment>
    <comment ref="E12" authorId="0">
      <text>
        <r>
          <rPr>
            <b/>
            <sz val="8"/>
            <rFont val="Tahoma"/>
            <family val="2"/>
          </rPr>
          <t>STORELLI:</t>
        </r>
        <r>
          <rPr>
            <sz val="8"/>
            <rFont val="Tahoma"/>
            <family val="2"/>
          </rPr>
          <t xml:space="preserve">
</t>
        </r>
        <r>
          <rPr>
            <sz val="8"/>
            <color indexed="10"/>
            <rFont val="Tahoma"/>
            <family val="2"/>
          </rPr>
          <t xml:space="preserve">  Irap  decurtata  pari a euro 3872,01
</t>
        </r>
        <r>
          <rPr>
            <sz val="8"/>
            <rFont val="Tahoma"/>
            <family val="2"/>
          </rPr>
          <t xml:space="preserve">  </t>
        </r>
        <r>
          <rPr>
            <sz val="8"/>
            <color indexed="10"/>
            <rFont val="Tahoma"/>
            <family val="2"/>
          </rPr>
          <t xml:space="preserve">modificare atbelle partner
mancano: 
  - DI: aliquota Baldassarre
</t>
        </r>
        <r>
          <rPr>
            <sz val="8"/>
            <rFont val="Tahoma"/>
            <family val="2"/>
          </rPr>
          <t xml:space="preserve"> </t>
        </r>
        <r>
          <rPr>
            <sz val="8"/>
            <color indexed="10"/>
            <rFont val="Tahoma"/>
            <family val="2"/>
          </rPr>
          <t>- DSSM: riepilogo mensile personale e time sheet
 - COIMBA: cartellia completa</t>
        </r>
      </text>
    </comment>
    <comment ref="J12" authorId="1">
      <text>
        <r>
          <rPr>
            <b/>
            <sz val="8"/>
            <rFont val="Tahoma"/>
            <family val="2"/>
          </rPr>
          <t>storelli:</t>
        </r>
        <r>
          <rPr>
            <sz val="8"/>
            <rFont val="Tahoma"/>
            <family val="2"/>
          </rPr>
          <t xml:space="preserve">
decurtati per recupero IRAP i mandati 430 e 428 pari a euro 3882,94</t>
        </r>
      </text>
    </comment>
    <comment ref="C43" authorId="0">
      <text>
        <r>
          <rPr>
            <b/>
            <sz val="8"/>
            <rFont val="Tahoma"/>
            <family val="2"/>
          </rPr>
          <t>STORELLI:</t>
        </r>
        <r>
          <rPr>
            <sz val="8"/>
            <rFont val="Tahoma"/>
            <family val="2"/>
          </rPr>
          <t xml:space="preserve">
quota da liquidare recuperando l'anticipazione
</t>
        </r>
      </text>
    </comment>
    <comment ref="J32" authorId="1">
      <text>
        <r>
          <rPr>
            <b/>
            <sz val="8"/>
            <rFont val="Tahoma"/>
            <family val="2"/>
          </rPr>
          <t>storelli:</t>
        </r>
        <r>
          <rPr>
            <sz val="8"/>
            <rFont val="Tahoma"/>
            <family val="2"/>
          </rPr>
          <t xml:space="preserve">
decurtati per recupero IRAP i mandati 430 e 428 pari a euro 3882,94</t>
        </r>
      </text>
    </comment>
  </commentList>
</comments>
</file>

<file path=xl/comments9.xml><?xml version="1.0" encoding="utf-8"?>
<comments xmlns="http://schemas.openxmlformats.org/spreadsheetml/2006/main">
  <authors>
    <author>STORELLI</author>
  </authors>
  <commentList>
    <comment ref="C20" authorId="0">
      <text>
        <r>
          <rPr>
            <b/>
            <sz val="8"/>
            <rFont val="Tahoma"/>
            <family val="2"/>
          </rPr>
          <t>STORELLI:</t>
        </r>
        <r>
          <rPr>
            <sz val="8"/>
            <rFont val="Tahoma"/>
            <family val="2"/>
          </rPr>
          <t xml:space="preserve">
da progetto esecutivo approvato.
</t>
        </r>
        <r>
          <rPr>
            <sz val="8"/>
            <color indexed="10"/>
            <rFont val="Tahoma"/>
            <family val="2"/>
          </rPr>
          <t>Passa da 30000 a 36000
Rimodulato a luglio 2008</t>
        </r>
      </text>
    </comment>
    <comment ref="C11" authorId="0">
      <text>
        <r>
          <rPr>
            <b/>
            <sz val="8"/>
            <rFont val="Tahoma"/>
            <family val="2"/>
          </rPr>
          <t>STORELLI:</t>
        </r>
        <r>
          <rPr>
            <sz val="8"/>
            <rFont val="Tahoma"/>
            <family val="2"/>
          </rPr>
          <t xml:space="preserve">
decurtata la quota pari a 95226,77 euro, eccedente il 65% contributo concesso </t>
        </r>
      </text>
    </comment>
    <comment ref="C42" authorId="0">
      <text>
        <r>
          <rPr>
            <b/>
            <sz val="8"/>
            <rFont val="Tahoma"/>
            <family val="2"/>
          </rPr>
          <t>STORELLI:</t>
        </r>
        <r>
          <rPr>
            <sz val="8"/>
            <rFont val="Tahoma"/>
            <family val="2"/>
          </rPr>
          <t xml:space="preserve">
quota da liquidare recuperando l'anticipazione
</t>
        </r>
      </text>
    </comment>
    <comment ref="E37" authorId="0">
      <text>
        <r>
          <rPr>
            <b/>
            <sz val="8"/>
            <rFont val="Tahoma"/>
            <family val="2"/>
          </rPr>
          <t>STORELLI:</t>
        </r>
        <r>
          <rPr>
            <sz val="8"/>
            <rFont val="Tahoma"/>
            <family val="2"/>
          </rPr>
          <t xml:space="preserve">
quota residua a collaudo</t>
        </r>
      </text>
    </comment>
    <comment ref="E12" authorId="0">
      <text>
        <r>
          <rPr>
            <b/>
            <sz val="8"/>
            <rFont val="Tahoma"/>
            <family val="2"/>
          </rPr>
          <t>STORELLI:</t>
        </r>
        <r>
          <rPr>
            <sz val="8"/>
            <rFont val="Tahoma"/>
            <family val="2"/>
          </rPr>
          <t xml:space="preserve">
</t>
        </r>
        <r>
          <rPr>
            <sz val="8"/>
            <color indexed="12"/>
            <rFont val="Tahoma"/>
            <family val="2"/>
          </rPr>
          <t>uniiba:</t>
        </r>
        <r>
          <rPr>
            <sz val="8"/>
            <rFont val="Tahoma"/>
            <family val="2"/>
          </rPr>
          <t xml:space="preserve"> 
 - consulenze Qualcom mancano firme e date sui time sheet
 - infrastrutture: mancano ordine e contratto Business Technology
</t>
        </r>
        <r>
          <rPr>
            <sz val="8"/>
            <color indexed="12"/>
            <rFont val="Tahoma"/>
            <family val="2"/>
          </rPr>
          <t>ICT Group:</t>
        </r>
        <r>
          <rPr>
            <sz val="8"/>
            <rFont val="Tahoma"/>
            <family val="2"/>
          </rPr>
          <t xml:space="preserve">
 - personale: mancano fotocopie degli assegni, firmate e timbrate</t>
        </r>
      </text>
    </comment>
  </commentList>
</comments>
</file>

<file path=xl/sharedStrings.xml><?xml version="1.0" encoding="utf-8"?>
<sst xmlns="http://schemas.openxmlformats.org/spreadsheetml/2006/main" count="2099" uniqueCount="729">
  <si>
    <t>IL SOGG.PROPONENTE E' UN LABORATORIO DELL'UNIVERSITA' DI FI.
L'ENTE RESPONSABILE DELL'ATTUAZIONE E' IL PARTNER APIT SCARL(SOGG. PRIVATO) INDICATO ANCHE COME CAPOFILA.
LA TABELLA 4 DEI COSTI DI PROGETTO RIPORTA ZERO COME CONTRIBUTO DEL PRIVATO.
IL PROSPETTO 7.3 NON E' REDATTO IN CONFORMITA ALLA SCHEDA DEL BANDO.
MANCA L'ULTIMA PAGINA DEL FORMULARIO CON LA DICHIARAZIONE E LA FIRMA DEL LEGALE RAPPRESENTANTE (NIGRO) DELLA CAPOFILA MERQURIS. LE RESTANTI PAGINE NON SONO SIGLATE DAL LEGALE RAPPRESENTANTE DELLA CAPOFILA COME RICHIESTO DAL BANDO.
MANCA DOCUMENTO DI IDENTITA' DI NIGRO LEGALE RAPPRESENTANTE DELLA CAPOFILA.
LA TABELLA INIZIALE DI SINTESI DELLE INFORMAZIONI NON E' CONFORME AL BANDO</t>
  </si>
  <si>
    <t>ESCLUSO PER LA MANCANZA DELLA DICITURA SULLA BUSTA COME PREVISTA DAL BANDO</t>
  </si>
  <si>
    <t>18902 - 18993</t>
  </si>
  <si>
    <t>17838 - 17923</t>
  </si>
  <si>
    <t>17839 - 17924</t>
  </si>
  <si>
    <t>17841 - 17926</t>
  </si>
  <si>
    <t>17837 - 17922</t>
  </si>
  <si>
    <t>17840 - 17925</t>
  </si>
  <si>
    <t>19044 - 19187</t>
  </si>
  <si>
    <t>19340 - 19499</t>
  </si>
  <si>
    <t>Il numero di mesi/uomo individuati per il partner LB Service è pari a 86 m/u e sembra eccessivo rispetto alla quota di cofinanziamento;
La tabella costi riepilogativi (pag. 37) e il prospetto riepilogativo (pag. 50) sono difformi
Le consulenze specialistiche che hanno alta incidenza (superano quelle di personale) sull’importo complessivo del progetto, non sono state esplicitate in termini di attività e temi.</t>
  </si>
  <si>
    <t>Data Inizio</t>
  </si>
  <si>
    <t>Data Fine</t>
  </si>
  <si>
    <t>al 31/07/07</t>
  </si>
  <si>
    <t>al 30/11/07</t>
  </si>
  <si>
    <t>II SAL</t>
  </si>
  <si>
    <t>II SAL Importo</t>
  </si>
  <si>
    <t>II SAL Data</t>
  </si>
  <si>
    <t>II SAL Tecnico Data accettazione</t>
  </si>
  <si>
    <t>II SAL Data accettazione MIRWEB</t>
  </si>
  <si>
    <t>II SAL Quota 80%</t>
  </si>
  <si>
    <t>rep. II SAL</t>
  </si>
  <si>
    <t>Data rep II SAL.</t>
  </si>
  <si>
    <t>Errato il calcolo del contributo richiesto (max 696.000 che è pari all’ 80% dell’importo complessivo);
I mesi/uomo per attività sembrano spropositati e, in alcuni casi, il costo individuato, rispetto al numero dei mesi/uomo esposti, è estremamente basso;
A pag. 17 il Comune di Locorotondo, nella tabella gruppo leader, è ripetuto 4 volte;
Ci sono inesattezze, ripetizioni e descrizioni di tecnologie prese integralmente dalle brochure di presentazione e non tradotte (vedi pag. 32, 33, 41 e 42);
I mesi di progetto sono 24 al posto di 18;
A pag. 43 viene menzionato un ipotetico partner di progetto, l’EBT, di cui non si descrive nulla in nessun punto del documento;
A pag. 46 sembra ci sia un errore: “Il progetto prevede la partecipazione di 6 ricercatori di cui 10 donne”.
Le consulenze specialistiche che hanno discreta incidenza sull’importo complessivo del progetto, non sono state esplicitate in termini di attività e temi.</t>
  </si>
  <si>
    <t>totali per voci di costo</t>
  </si>
  <si>
    <t>3979 - 4141</t>
  </si>
  <si>
    <t>0832298684-zonno 3280583942 (scordella 3207673766)</t>
  </si>
  <si>
    <t>Sui contenuti Multimediali a pag 34 è necessario censire le fonti di approvvigionamento digitali e non;
Mancano i meccanismi di approvvigionamento del sistema  da fonti esterne (fornitori di contenuti)
Non si evince un vero back office per la soluzione e quindi i meccanismi di creazione dei palinsesti;
Le consulenze specialistiche che hanno discreta incidenza sull’importo complessivo del progetto, non sono state esplicitate in termini di attività e temi.</t>
  </si>
  <si>
    <t xml:space="preserve">Dettagliare l'intera proposta con particolare riferimento alle attività e ai costi dei partner privati </t>
  </si>
  <si>
    <t>C.da Giardinelli, 72015 LAURETO DI FASANO (BR)</t>
  </si>
  <si>
    <t>26439 - 26577</t>
  </si>
  <si>
    <t>26189 - 26402</t>
  </si>
  <si>
    <t>A pag. 32 è inserita la realizzazione di un filmato di backstage che forse andrebbe inserito in una attività di diffusione, divulgazione e trasferimento;
Le consulenze specialistiche che hanno discreta incidenza sull’importo complessivo del progetto, non sono state esplicitate in termini di attività e temi.</t>
  </si>
  <si>
    <t>e-mail riferimento</t>
  </si>
  <si>
    <t>a.reina@poliba.it</t>
  </si>
  <si>
    <t>14568-14721</t>
  </si>
  <si>
    <t>24463 - 24612</t>
  </si>
  <si>
    <t>14569 - 14722</t>
  </si>
  <si>
    <t>23417 - 23572</t>
  </si>
  <si>
    <t>IT06F0300204030000010562004</t>
  </si>
  <si>
    <t xml:space="preserve">quota da liquidare </t>
  </si>
  <si>
    <t>9425 - 9508</t>
  </si>
  <si>
    <t>11180 - 11280</t>
  </si>
  <si>
    <t>11183 - 11283</t>
  </si>
  <si>
    <t>16812 - 16858</t>
  </si>
  <si>
    <t>7431 - 7602</t>
  </si>
  <si>
    <t>9582 - 9736</t>
  </si>
  <si>
    <t>da liquidare con rendiconto finale</t>
  </si>
  <si>
    <t>spese generali  II rendiconto</t>
  </si>
  <si>
    <t>3/10/20008</t>
  </si>
  <si>
    <t>18663 - 18784</t>
  </si>
  <si>
    <t>17396 - 17495</t>
  </si>
  <si>
    <t>19113 - 19172</t>
  </si>
  <si>
    <t>18980 - 19088</t>
  </si>
  <si>
    <t>18691 - 18809</t>
  </si>
  <si>
    <t>rimodulato</t>
  </si>
  <si>
    <t>prog. esec.</t>
  </si>
  <si>
    <t>14760-14928</t>
  </si>
  <si>
    <t>14814-14978</t>
  </si>
  <si>
    <t>14815-14979</t>
  </si>
  <si>
    <t>15439-15534</t>
  </si>
  <si>
    <t>13928-14008</t>
  </si>
  <si>
    <t>16794-16842</t>
  </si>
  <si>
    <t>16862-16943</t>
  </si>
  <si>
    <t>IT30T0103016002000060654292</t>
  </si>
  <si>
    <t>CYBERPARK</t>
  </si>
  <si>
    <t>vincenzo.zonno@unile.it</t>
  </si>
  <si>
    <t>p.pecoraro@ciasu.it</t>
  </si>
  <si>
    <t>p.masini@poliba.it</t>
  </si>
  <si>
    <t>g.otranto@dscc.uniba.it</t>
  </si>
  <si>
    <t>Unicredit SPA - Agenzia  di Bari</t>
  </si>
  <si>
    <t>totale contributo</t>
  </si>
  <si>
    <t>5%contributo collaudo</t>
  </si>
  <si>
    <t xml:space="preserve">65%contributo </t>
  </si>
  <si>
    <t>30%anticipazione</t>
  </si>
  <si>
    <t xml:space="preserve">95%contributo </t>
  </si>
  <si>
    <t>quota I rendiconto</t>
  </si>
  <si>
    <t>totale quote rendiconto</t>
  </si>
  <si>
    <t>quota II rendiconto</t>
  </si>
  <si>
    <t>quota III rendiconto</t>
  </si>
  <si>
    <t>10% cofinanz. Privato</t>
  </si>
  <si>
    <t>cofinanz. Privato I rendiconto</t>
  </si>
  <si>
    <t>totale quote cofin. Privato</t>
  </si>
  <si>
    <t>cofinanz. Privato II rendiconto</t>
  </si>
  <si>
    <t>cofinanz. Privato III rendiconto</t>
  </si>
  <si>
    <t>m.monteleone@unifg.it, a.sevi@unifg.it</t>
  </si>
  <si>
    <t>Agenzia 02184 di Roma</t>
  </si>
  <si>
    <t xml:space="preserve">Banca Popolare di Lodi SPA </t>
  </si>
  <si>
    <t>000000167665</t>
  </si>
  <si>
    <t>000010561993</t>
  </si>
  <si>
    <t>P.zza Aldo Moro,7 - 000100 Roma</t>
  </si>
  <si>
    <t>218155</t>
  </si>
  <si>
    <t>Monte Paschi di Siena - Agenzia 9</t>
  </si>
  <si>
    <t>Viale della Repubblica, 90 - Bari</t>
  </si>
  <si>
    <t>36219.28</t>
  </si>
  <si>
    <t>Carime SPA - Agenzia 4</t>
  </si>
  <si>
    <t>Corso Italia - Bari</t>
  </si>
  <si>
    <t>00000050171</t>
  </si>
  <si>
    <t>Via Putignani, 98 - Bari</t>
  </si>
  <si>
    <t>000010562011</t>
  </si>
  <si>
    <t>Banca Popolare di Bari</t>
  </si>
  <si>
    <t>Viale Marconi, 194 - 85100 Potenza</t>
  </si>
  <si>
    <t>7001002</t>
  </si>
  <si>
    <t>36221.14</t>
  </si>
  <si>
    <t>000010562017</t>
  </si>
  <si>
    <t>Licenze</t>
  </si>
  <si>
    <t>Servizi in appalto</t>
  </si>
  <si>
    <t>III SAL</t>
  </si>
  <si>
    <t>0805717903 - 0805717947 Laricchia referente di progetto m.laricchia@dscc.uniba.it</t>
  </si>
  <si>
    <t>g.volpe@unifg.it</t>
  </si>
  <si>
    <t>c.garavelli@poliba.it</t>
  </si>
  <si>
    <t>f.losurdo@lex.uniba.it</t>
  </si>
  <si>
    <t>s.fioriello@lettere.uniba.it</t>
  </si>
  <si>
    <t>giovanni.aloisio@unile.it</t>
  </si>
  <si>
    <t>marcello.guaitoli@unile.it</t>
  </si>
  <si>
    <t>Il contributo del settore privato (186.000) riportato a pg 24 è difforme con il valore somma (167.000) dei costi partner privati (partner 2,3,4,5,6) ricavabile in tabella 7.3 a pg 33
Le attività di consulenza non sono espressamente referenziate e chiarite nella descrizione delle diverse attività
Non risulta chiaramente dettagliato il ruolo dei partner Dyrecta s.n.c., Ferrovie Sud Est s.r.l., Ferrotramviaria s.p.a.</t>
  </si>
  <si>
    <t>LA DICHIARAZIONE ALL'ULTIMA PAGINA DEL FORMULARIO SEMBRA IN FOTOCOPIA.
ARPALIT DICHIARA IN FORMA AUTOCERTIF. DI IMPEGNARSI AL COFINANZIAMENTO "NELLA MISURA MASSIMA DEL 20% DEI PROPRI COSTI" CHE SOMMANO 125KE E QUINNDI SI IMPEGNA PER SOLI 25KE. MANCA LA COPIA DEL DOC. DI IDENTITA' PER CUI LA DICH. NON E' VALIDA
SIGEMI SI IMPEGNA CON AUTOCERTIF. AL COFINANZIAMENTO  "SECONDO LE MODALITà PREVISTE DAL BANDO" E NON DICE A QUANTO AMONTA. MANCA LA COPIA DEL DOC. DI IDENTITA' PER CUI LA DICH. NON E' VALIDA
SI DEDUCE CHE IL FIANZIAMENTO DELLA PARTE PRIVATA E' INFERIORE AL 10% E QUINDI MOTIVO DI ESCLUSIONE PER L'ART. 8 DEL BANDO.</t>
  </si>
  <si>
    <t>OK. SONO TUTE DICHIARAZIONI AUTOCERTIFICATE CON ALLEGATA COPIA DEL DOC. DI IDENT.</t>
  </si>
  <si>
    <t xml:space="preserve">063608151-06377251 </t>
  </si>
  <si>
    <t>0881587636 collaborat= Viviana Di Cosmo 320.4394766</t>
  </si>
  <si>
    <t>DICHIARANO 4 PARTNER MA IN EFFETTI SOLO 3 PARTECIPANO AL PROGETTO. DIFATTI FLAMGAS NON COFINANZIA E NON PARTECIPA AI COSTI DI PROGETTO
Manca dichiarazione di adesione al progetto. Non sono delibere, SONO DICHIARAZIONI NON AUTOCERTIF. E SENZA documenti di identità, E QUINDI NON SONO VALIDE 
AL PUNTO 4 NELLA TABELLA DEI COSTI NON VIENE INDICATO NESSUN COFINANZIAMENTO DEI PRIVATI. NELLA TAB.7.3 IL CAPOFILA INDICA PER NEXTWARE COSTI PER IL 10% DEL PROGETTO. MA LA DICHIARAZIONE DI IMPEGNO DI NEXTWARE NON è VALIDA NON ESSENDO FORMULATA AI SENSI DELLA 445/00 COME RICHIESTO ALL'ART 9 DEL BANDO E MANCA IL DOC. DI IDENTITà. PER CUI LA DOCUMENTAZIONE è INCOMPLETA E PER L'ART. 8 DEL BANDO SEGUE L'ESCLUSIONE</t>
  </si>
  <si>
    <t>ALLEGANO LETTERE DI INTENTO E NON DICHIARAZINI. LE LETTERE DI INTENTO DELLE AMMINISTRAZIONI NON SONO DELIBERAZIONI E COSì LE LETTERE DEGLI ALTRI PARTNER SONO TUTTE NON CONFORMI ALL DPR 445/00 COME RICHIESTO DALL'ART. 9 DEL BANDO E NON SONO ACCOMPAGNATE DA ALCUN DOC DI IDENTITA', E PERTANTO NON SONO VALIDE.
AL PUNTO 4 NELLA TABELLA DEI COSTI NON HANNO INDICATO ALCUN COFINANZIAMENTO DEL PRIVATO.
L'ESCLUSIONE E' QUINDI AI SENSI DELL'ART. 8 PER INCOMPLETEZZA DELLA DOCUMENTAZIONE PRSENTATA.</t>
  </si>
  <si>
    <t>PARTNER 1 ALLEGA DELIBERA DEL COMITATO ORGANIZZATORE. OK 
PARTNER 3 NON COFINANZIA E NON PRESENTA DELIBERA DI GIUNTA MA SOLO DICH NON AUTOCETIFICATA 
PARTNER 2 PRESENTA DICHIAR NON AUTOCERTIF E SENZA DOC DI IDENTITA'
PARTNER 4 PRESENTA DELIBERA NON RUBBRICATA E NON AUTOCERTIFICATA AI SENSI DEL DPR 445/00 COME INDICATO NELL'ART.9 DEL BANDO E PERTANTO NON è VALIDA NON ASSICURANDO COSì IL COFINANZIAMENTO DI PART PRIVATA. TRA L'ALTRO L'IMPEGNO E' SOLO SUL 20% DELLA QUOTA DELLE PROPRIE ATTIVITA'
ESCLUSA AI SENSI DELL'ART. 8 DEL BANDO</t>
  </si>
  <si>
    <t>NESSUNA DELIBERA. CI SONO DICHIARAZIONI NON AI SENSI DEL DPR 445/00 DOVE SI CITA UN GENERICO IMPEGNO A COFINANZIARE SENZA INDICARE NE' LA PERCENTUALE NE IL VALORE IN EURO DEL COFIN. "COFINANZIARE IN MANIERA PROPORZIONALE ALLE ATTIVITA'". TALI DICHIARAZIONI NON SONO VALIDE. INOLTRE LA DICHIARAZIONE DI INFOTEL NON RIPORTA LA DATA.
ESCLUSIONE AI SENSI DELL'ART 8 DEL BANDO</t>
  </si>
  <si>
    <t>OKSONO TUTTE DELIBERE DI PARTECIPAZIONE, ADESIONE ALL'ATS E COFINANZIAMENTO</t>
  </si>
  <si>
    <t>PARTNER 2 E 3 PRENTANO EFFETTIVE DELIBERE DI GIUNTA SENZA COFINANZIAMENTO.
PARTNER 1 DECRETO RUBBRICATO DEL DIRETTORE DEL CENTRO ALDO ROMANO CHE PERò DECRETA IL COFINANZIAMENTO DI 87.736 EURO IN TERMINI DI RISORSE UMANE DELLA FACOLTA' DI INGEGNERIA CHE NON è PARTNER DEL PROGETTO E QUINDI NON PUò ASSICURARE IL COFINANZIAMENTO.
PARTNER 4 SOGGETTO PRIVATO PRESENTA DICH NON AUTOCERTIFICA SENZA DOC DI IDENTITA' E IMPEGNO PER SOLI 6.200 EURO INFERIORE AL 10% DEL PROGETTO.
ESCLUSA AI SENSI DELL'ART 8 DEL BANDO</t>
  </si>
  <si>
    <t>1 DIPARTIMENTO DI SCIENZE E TECNOLOGIE BIOLOGICHE ED AMBIENTALI (DISTEBA) UNIVERSITA DEGLI STUDI DI LECCE
2 COOPERATIVA HYDRA</t>
  </si>
  <si>
    <t xml:space="preserve">OK PRESENTANO DECRETO DIRIGENZIALE PER IL DISTEBA E DELIBERA DEL CDA PER COOP HYDRA ASSICURANDO LA CORETTA COPERTURA FINANZIARIA. OKCOPERTURA </t>
  </si>
  <si>
    <t>1 CACT - CNR
2 DIP ING. DELL'INOVAZIONE - UNILE
3 UNIBA
4 IST.POLIGRAFICO
5 UNION KEY
6 STP BRINDISI
7 COMUNE DI LECCE</t>
  </si>
  <si>
    <t>1 DIP ING. DELL'AMBIENTE E PER LO SVILUPPO SOSTENIBILE - POLITECNICO DI BARI
2 PROVINCIA DI TARANTO
3 SINCON</t>
  </si>
  <si>
    <t xml:space="preserve">OK. DECRETO PRESIDENZIALE PER P. 1 E DICHIARAZIONI AUTOCERTIFICATE CON COPIA DEL DOC DI IDENTITA' PER P. 2 E 3.
</t>
  </si>
  <si>
    <t>0805963732-3493-(2144 sig.ra chiricallo)</t>
  </si>
  <si>
    <t>0805963799-(2144 sig.ra chiricallo)</t>
  </si>
  <si>
    <t>P. 1 DICHIARAZIONE NON AUTOCERTIFICATA CON COPIA DEL DOC DI IDENT.
P. 2 NON E' DELIBERA MA SOLO DICHIARAZIONE NON AUTOCERTIFICATA E SENZA DOC. DI IDENTITA'. NON VALIDA. NON SPECIFICA NEMMENO L'ENTITA' DEL COFINANZIAM.
P. 3 DICH AUTOCERTIFICATA AI SENSI DEL DPR 445/00 MA SENZA COPIA DEL DOC DI RICONOSCIMENTO. NON VALIDA. NON INDICA ENTITA' DEL COFINANZIAMENTO, IN TAB 4 NON INDICA FINANZIAMENTO DEI PRIVATI, IN TAB. 7.3 RIPORTA PER SINCON (UNICO PRIVATO) LA SPESA DI SOLI 20KE INFERIORE AGLI 83KE CHE SONO IL 10% MINIMO DEL CONTRIBUTO PRIVATO. PERTANTO NON ASSICURA IL 10% MINIMO DEL PRIVATO ED è ESCULSA PER L'ART. 8 DEL BANDO</t>
  </si>
  <si>
    <t>P. 3 E 5 OK IMPEGNO CON DICHIARAZIONI AUTOCERTIFICATE ACCOMPAGNATE DA DELIBERE
P. 2 DICHIARAZIONE AUTOCERTIF SENZA COPIA DEL DOC DI IDENTITA'. NON VALIDA
P. 4 DICH NON AUTOCERTIFICATA E SENZA DOC DI RICONOSCIM
P. 6 DICH NON AUTOCERTIFICATA CON DOC DI RICONOSCIMENTO. NON VALIDA AI SENSI DELL'ART. 9 DEL BANDO. NON ASSICURA LA PERCENTUALE MINIMA DEL 10% DEL PRIVATO.
P. 1 CAPOFILA MANCA LA DICHIARAZIONE DI PARTECIPAZIONE, ATS E IMPEGNO AL COFINANZ.
IL FORMULARIO NON è COMPLETO PERCHE' MANCA IL PUNTO K. MODALITAà DI DIFFUSIONE DEI RISULTATI
PER TALI MOTIVI ESCLUSIONE AI SENSI DELL'ART. 8 DEL BANDO</t>
  </si>
  <si>
    <t>TUTTE DICHIARAZIONI NON AUTOCERTIFIC SENZA COPIA DOC IDENTITA' AD ECCEZ. DEL PARTNER 1. 
LE DICHIARAZ DEI PARTNER 2 E 3 SONO ADDIRITTURA IN COPIA FAX NON ORIGINALE. NON HANNO ALCUNA VALIDITA'. 
NON VIENE ASSICURATA LA PERCENTUALE DI COFINANZ. E NEMMENO IL 10% MINIMO DEL PRIVATO.
ESCLUSIONE AI SENSI DELL'ART. 8 DEL BANDO</t>
  </si>
  <si>
    <t>DA RIDURRE</t>
  </si>
  <si>
    <t>DELTA</t>
  </si>
  <si>
    <t>RIF</t>
  </si>
  <si>
    <t>VALORI</t>
  </si>
  <si>
    <t>1 DIP ING CIVILE AMBIENTALE
2 LB SERVICE SRL
3 COMUNITA' MONTANA</t>
  </si>
  <si>
    <t>Personale dipendente</t>
  </si>
  <si>
    <t>Personale non dipendente</t>
  </si>
  <si>
    <t>Totale  rendiconto</t>
  </si>
  <si>
    <t>Materiali di consumo</t>
  </si>
  <si>
    <t>Missioni e Viaggi</t>
  </si>
  <si>
    <t>Imposte e Tasse</t>
  </si>
  <si>
    <t>Spese Generali</t>
  </si>
  <si>
    <t>Infrastrutture/ammortamenti</t>
  </si>
  <si>
    <t>Noli e leasing</t>
  </si>
  <si>
    <t>Forniture di Beni durevoli</t>
  </si>
  <si>
    <t>al 31/12/07</t>
  </si>
  <si>
    <t>al 30/06/08</t>
  </si>
  <si>
    <t>al 30/04/08</t>
  </si>
  <si>
    <t>SAL</t>
  </si>
  <si>
    <t xml:space="preserve"> </t>
  </si>
  <si>
    <t xml:space="preserve">  </t>
  </si>
  <si>
    <t>TELESICURTRAS</t>
  </si>
  <si>
    <t>P. 1 OK DECRETO DEL DIPARTIMENTO 
P. 2 OK DICH AUTOCERTIFICATA 
P. 3 OK DICH AUTOCERTIFICATA 
P. 4 OK DELIBERA CDA
P. 5 OK DELIBERA CDA
P. 6 OK DELIBERA CDA</t>
  </si>
  <si>
    <t xml:space="preserve">P. 7 OK DELIBERA DI GIUNTA COMUNALE
P. 3 OK DICH AUTOCERTIF 
P. 2 OK DICH AUTOCERTIF 
P. 4 OK DICH AUTOCERTIF 
P. 5 OK DICH AUTOCERTIF 
P. 6 OK DICH AUTOCERTIF 
P. 1 OK DICH AUTOCERTIF </t>
  </si>
  <si>
    <t>Banca Popolare</t>
  </si>
  <si>
    <t>Corso Cavour, 84 - 70121 Bari</t>
  </si>
  <si>
    <t>000001058187</t>
  </si>
  <si>
    <t>04010 / 05424 / N</t>
  </si>
  <si>
    <t>Ing. Mikail Feituri (referente Tecnico De Gasperi Paolo 0637725512)</t>
  </si>
  <si>
    <t>Rep impegno</t>
  </si>
  <si>
    <t>data rep impegno</t>
  </si>
  <si>
    <t>prot notifica impegno</t>
  </si>
  <si>
    <t>data notifica impegno</t>
  </si>
  <si>
    <t xml:space="preserve">TRANNE PER IL COMUNE DI LECCE CHE PRESENTA DELIBERA, LE ALTRE SONO TUTTE DICHIARAZIONI CONFORMI AL DPR 445/00
</t>
  </si>
  <si>
    <t>TOTALI</t>
  </si>
  <si>
    <t>CONTRIBUTO CONCESSO</t>
  </si>
  <si>
    <t>AMMESSI</t>
  </si>
  <si>
    <t>ESITI ISTRUTTORI</t>
  </si>
  <si>
    <t>NON CI SONO LE DELIBERE DI IMPEGNO, MA SOLO DICHIARAZIONI DI INTERESSE ALLA COSTITUZIONE ATS.
IN MANCANZA DELL'IMPEGNO AL COOFINANZIAMENTO, IL PROGETTO NON PUO' ESSERE AMMESSO.
INOLTRE, AL PUNTO 4 NELLA TABELLA DEI COSTI E' INDICATO UN CONTRIBUTO PRIVATO INFERIORE AL 10%.</t>
  </si>
  <si>
    <t>IT54J0516403204000000167665</t>
  </si>
  <si>
    <t xml:space="preserve">LA DICHIARAZIONE ALL'ULTIMA PAGINA DEL FORMULARIO SEMBRA IN FOTOCOPIA. LA DICHIARAZIONE RISULTA A NOME DEL DIRETTORE DEL DIPARTIMENTO MA NON FIRMATA DALLO STESSO.
ARPALIT DICHIARA IN FORMA AUTOCERTIF. DI IMPEGNARSI AL COFINANZIAMENTO "NELLA MISURA MASSIMA DEL 20% DEI PROPRI COSTI" CHE SOMMANO 125KE E QUINNDI SI IMPEGNA PER SOLI 25KE. MANCA LA COPIA DEL DOC. DI IDENTITA' PER CUI LA DICH. NON E' VALIDA
SIGEMI SI IMPEGNA CON AUTOCERTIF. AL COFINANZIAMENTO  "SECONDO LE MODALITA' PREVISTE DAL BANDO" E NON INDICA L'AMMONTARE. MANCA LA COPIA DEL DOC. DI IDENTITA' PER CUI LA DICH. NON E' VALIDA
SI DEDUCE CHE IL FINANZIAMENTO DELLA PARTE PRIVATA E' INFERIORE AL 10% E QUINDI MOTIVO DI ESCLUSIONE PER L'ART. 8 DEL BANDO. </t>
  </si>
  <si>
    <t>NON RIPORTA LA DICITURA RICHIESTA DAL BANDO</t>
  </si>
  <si>
    <t>DICHIARANO 4 PARTNER MA IN EFFETTI SOLO 3 PARTECIPANO AL PROGETTO. FLAMGAS NON COFINANZIA E NON PARTECIPA AI COSTI DI PROGETTO
AMNCA DICHIRAZIONE DI ADESIONE AL PROGETTO. NON SONO DELIBERE, MA DICHIARAZIONI NON AUTOCERTIFICATE AI SENSI DEL DPR 445/00 E SENZA DOCUMENTI DI IDENTITA', E QUINDI NON SONO VALIDE. 
AL PUNTO 4 NELLA TABELLA DEI COSTI NON VIENE INDICATO NESSUN COFINANZIAMENTO DEI PRIVATI. NELLA TAB.7.3 IL CAPOFILA INDICA PER NEXTWARE COSTI PER IL 10% DEL PROGETTO. LA DICHIARAZIONE DI IMPEGNO DI NEXTWARE NON E' VALIDA NON ESSENDO FORMULATA AI SENSI DELLA 445/00 COME RICHIESTO ALL'ART 9 DEL BANDO E MANCA IL DOCUMENTO DI IDENTITA'. ESCLUSO AI SENSI DELL'ART. 8 DEL BANDO.</t>
  </si>
  <si>
    <t>0805962200 chiricallo - 0805963719</t>
  </si>
  <si>
    <t>0805962200 chiricallo - 0805962520</t>
  </si>
  <si>
    <t>0805962200 chiricallo - 0805963484</t>
  </si>
  <si>
    <t>ALLEGATE LETTERE DI INTENTI E NON DICHIARAZIONI. LE LETTERE DI INTENTI DELLE AMMINISTRAZIONI NON SONO DELIBERAZIONI E  LE LETTERE DEGLI ALTRI PARTNER SONO TUTTE NON CONFORMI AL DPR 445/00 COME RICHIESTO DALL'ART. 9 DEL BANDO E NON SONO ACCOMPAGNATE DA ALCUN DOCUMENTO DI IDENTITA', E PERTANTO NON SONO VALIDE.
AL PUNTO 4 NELLA TABELLA DEI COSTI NON E' STATO INDICATO ALCUN COFINANZIAMENTO DELLA PARTE PRIVATA.
L'ESCLUSIONE E' AI SENSI DELL'ART. 8 PER INCOMPLETEZZA DELLA DOCUMENTAZIONE PRESENTATA.</t>
  </si>
  <si>
    <t>PARTNER 1 ALLEGA DELIBERA DEL COMITATO ORGANIZZATORE. 
PARTNER 3 NON COFINANZIA E NON PRESENTA DELIBERA DI GIUNTA MA SOLO DICHIARAZIONE NON AUTOCERTIFICATA 
PARTNER 2 PRESENTA DICHIARAZIONE NON AUTOCERTIFATA E SENZA DOC. DI IDENTITA'
PARTNER 4 PRESENTA DELIBERA NON RUBRICATA E NON AUTOCERTIFICATA AI SENSI DEL DPR 445/00 COME INDICATO NELL'ART.9 DEL BANDO E PERTANTO NON E' VALIDA NON ASSICURANDO COSI' IL COFINANZIAMENTO DI PARTE PRIVATA. TRA L'ALTRO L'IMPEGNO E' SOLO SUL 20% DELLA QUOTA DELLE PROPRIE ATTIVITA'
ESCLUSA AI SENSI DELL'ART. 8 DEL BANDO</t>
  </si>
  <si>
    <t>0805443577</t>
  </si>
  <si>
    <t>NESSUNA DELIBERA. CI SONO DICHIARAZIONI NON AI SENSI DEL DPR 445/00 DOVE SI CITA UN GENERICO IMPEGNO A COFINANZIARE SENZA INDICARE NE' LA PERCENTUALE NE' IL VALORE IN EURO DEL COFINANZIAMENTO. INDICATO GENERICAMENTE "COFINANZIARE IN MANIERA PROPORZIONALE ALLE ATTIVITA'". TALI DICHIARAZIONI NON SONO VALIDE. INOLTRE LA DICHIARAZIONE DI INFOTEL NON RIPORTA LA DATA.
ESCLUSIONE AI SENSI DELL'ART 8 DEL BANDO.</t>
  </si>
  <si>
    <t>PARTNER 2 E 3 PRESENTANO EFFETTIVE DELIBERE DI GIUNTA SENZA COFINANZIAMENTO.
PARTNER 1 DECRETO RUBRICATO DEL DIRETTORE DEL CENTRO CHE PERO' DECRETA IL COFINANZIAMENTO DI 87.736 EURO IN TERMINI DI RISORSE UMANE DELLA FACOLTA' DI INGEGNERIA DELL'UNIVERSITA' DI LECCE.
PARTNER 4 SOGGETTO PRIVATO PRESENTA DICHIARAZIONE NON AUTOCERTIFICA SENZA DOCUMENTO DI IDENTITA' E IMPEGNO PER SOLI 6.200 EURO INFERIORE AL 10% DEL PROGETTO.
ESCLUSA AI SENSI DELL'ART. 8 DEL BANDO.</t>
  </si>
  <si>
    <t>data progetto esecutivo</t>
  </si>
  <si>
    <t>prot esecutivo</t>
  </si>
  <si>
    <t>al 30/03/09</t>
  </si>
  <si>
    <t>IT97C0300204030000010561993</t>
  </si>
  <si>
    <t>PER PARTNER 2 DICHIARAZIONE AUTOCERTIFICATA SENZA COPIA DEL DOCUMENTO DI IDENTITA'. NON VALIDA
PER PARTNER 4 DICHIARAZIONE NON AUTOCERTIFICATA E SENZA DOCUMENTO DI IDENTITA'.
PER PARTNER 6 DICHIARAZIONE NON AUTOCERTIFICATA CON DOCUMENTO DI IDENTITA' NON VALIDA AI SENSI DELL'ART. 9 DEL BANDO. NON ASSICURA LA PERCENTUALE MINIMA DEL 10% DELLA PARTE PRIVATA.
PER IL PARTNER 1 CAPOFILA MANCA LA DICHIARAZIONE DI PARTECIPAZIONE, ATS E IMPEGNO AL COFINANZIAMENTO.
IL FORMULARIO NON E' COMPLETO PERCHE' MANCA IL PUNTO K - MODALITA' DI DIFFUSIONE DEI RISULTATI.
ESCLUSIONE AI SENSI DELL'ART. 8 DEL BANDO.</t>
  </si>
  <si>
    <t>informaticaprogetti@forcom.it; mascitti@forcom.it</t>
  </si>
  <si>
    <t>PER IL PARTNER 1 DICHIARAZIONE NON AUTOCERTIFICATA CON COPIA DEL DOCUMENTO DI IDENTITA'.
IL PARTNER 2 NON PRESENTA DELIBERA, MA SOLO DICHIARAZIONE NON AUTOCERTIFICATA E SENZA DOCUMENTO DI IDENTITA'. NON VALIDA. NON SPECIFICA NEMMENO L'ENTITA' DEL COFINANZIAMENTO.
PER IL PARTNER 2 DICHIARAZIONE AUTOCERTIFICATA AI SENSI DEL DPR 445/00 MA SENZA COPIA DEL DOCUMENTO DI IDENTITA'. NON VALIDA. NON INDICA ENTITA' DEL COFINANZIAMENTO, IN TAB. 4 NON INDICA FINANZIAMENTO DELLA PARTE PRIVATA, IN TAB. 7.3 RIPORTA PER SINCON (UNICO SOGGETTO PRIVATO) LA SPESA DI SOLI 20K€ INFERIORE AGLI 83K€ CHE SONO IL 10% MINIMO DEL CONTRIBUTO PRIVATO. PERTANTO NON ASSICURA IL 10% MINIMO DEL PRIVATO. ESCULSA AI SENSI DELL'ART. 8 DEL BANDO.</t>
  </si>
  <si>
    <t>TUTTE DICHIARAZIONI NON AUTOCERTIFICATE AI SENSI DEL DPR 445/00 E SENZA COPIA DEL DOCUMENTO DI IDENTITA' AD ECCEZIONE DEL PARTNER 1. 
LE DICHIARAZIONI DEI PARTNER 2 E 3 SONO IN COPIA FAX . 
NON VIENE ASSICURATA LA PERCENTUALE DI COFINANZIAMENTO.
ESCLUSIONE AI SENSI DELL'ART. 8 DEL BANDO.</t>
  </si>
  <si>
    <t>PARTNER 1 E 2 NON PRESENTANO DICHIARAZIONI AUTOCERTIFICATE AI SENSI DEL DPR 445/00. ESCLUSIONE AI SENSI DELL'ART. 8 DEL BANDO.</t>
  </si>
  <si>
    <t>80008870752</t>
  </si>
  <si>
    <t>80002170720</t>
  </si>
  <si>
    <t xml:space="preserve"> 01086760723</t>
  </si>
  <si>
    <t>93019350722</t>
  </si>
  <si>
    <t>93051590722</t>
  </si>
  <si>
    <t>spesa tot</t>
  </si>
  <si>
    <t>liquidato a sal</t>
  </si>
  <si>
    <t>liquidato anticipaz</t>
  </si>
  <si>
    <t>tot liquidato</t>
  </si>
  <si>
    <t>21931 - 22115</t>
  </si>
  <si>
    <t>25137 - 25285</t>
  </si>
  <si>
    <t>22467 - 22554</t>
  </si>
  <si>
    <t>TUTTI I PARTNER PRESENTANO  DICHIARAZIONI DI IMPEGNO NON AUTOCERTIFICATE COME DA ART. 9 DEL BANDO. NON VALIDE.
TUTTI I PARTNER INDICANO UN GENERICO "COFINANZIAMENTO SECONDO LE MODALITA' PREVISTE NEL BANDO" SENZA DARNE LE DIMENSIONI E NON CONSENTE DI VALUTARE L'ENTITA' DELLO STESSO E IL CONTRIBUTO DELLA PARTE PRIVATA.
ESCLUSA AI SENSI DEL'ART. 8 DEL BANDO.</t>
  </si>
  <si>
    <t>Si sottolinea la presenza di una colonna “IVA” nella tabella dei costi non meglio giustificata, ed una richiesta di finanziamento superiore al massimo consentito (80% dei costi della quota pubblica del progetto)</t>
  </si>
  <si>
    <t>Anticipo 30%</t>
  </si>
  <si>
    <t>rep. Anticip</t>
  </si>
  <si>
    <t>Data rep anticip.</t>
  </si>
  <si>
    <t>Quota UE/stato</t>
  </si>
  <si>
    <t>Quota Regione</t>
  </si>
  <si>
    <t>DIP. DI SCIENZE UMANE  TERRITORIO E BENI CULTURALI - UNIVERSITA' DEGLI STUDI DI FOGGIA</t>
  </si>
  <si>
    <t>17208 - 17323</t>
  </si>
  <si>
    <t>17209 - 17324</t>
  </si>
  <si>
    <t>30/09/20008</t>
  </si>
  <si>
    <t>al 30/08/08</t>
  </si>
  <si>
    <t>BREVETTI</t>
  </si>
  <si>
    <t>PROTEC</t>
  </si>
  <si>
    <t>IV SAL</t>
  </si>
  <si>
    <t>al 8/09/08</t>
  </si>
  <si>
    <t>spese generali IV rendiconto</t>
  </si>
  <si>
    <t>cofinanz. Privato IV rendiconto</t>
  </si>
  <si>
    <t>IV SAL Importo</t>
  </si>
  <si>
    <t>IV data richiesta contributo</t>
  </si>
  <si>
    <t>IV SAL Data</t>
  </si>
  <si>
    <t>IV SAL Tecnico Data accettazione</t>
  </si>
  <si>
    <t>IV SAL Data accettazione MIRWEB</t>
  </si>
  <si>
    <t>IV SAL Quota 80%</t>
  </si>
  <si>
    <t>IV Quota UE/stato</t>
  </si>
  <si>
    <t>IV Quota Regione</t>
  </si>
  <si>
    <t>rep. IV SAL</t>
  </si>
  <si>
    <t>Data rep IV SAL.</t>
  </si>
  <si>
    <t>al 30/03/08</t>
  </si>
  <si>
    <t>quota IV rendiconto</t>
  </si>
  <si>
    <t>III SAL Importo</t>
  </si>
  <si>
    <t>III data richiesta contributo</t>
  </si>
  <si>
    <t>III SAL Data</t>
  </si>
  <si>
    <t>III SAL Tecnico Data accettazione</t>
  </si>
  <si>
    <t>III SAL Data accettazione MIRWEB</t>
  </si>
  <si>
    <t>III SAL Quota 80%</t>
  </si>
  <si>
    <t>III Quota UE/stato</t>
  </si>
  <si>
    <t>III Quota Regione</t>
  </si>
  <si>
    <t>rep. III SAL</t>
  </si>
  <si>
    <t>Data rep III SAL.</t>
  </si>
  <si>
    <t>II data richiesta contributo</t>
  </si>
  <si>
    <t>II Quota UE/stato</t>
  </si>
  <si>
    <t>II Quota Regione</t>
  </si>
  <si>
    <t>Altre spese</t>
  </si>
  <si>
    <t>IT57X0103004010000003622114</t>
  </si>
  <si>
    <t>17343 - 17459</t>
  </si>
  <si>
    <t>17221 - 17333</t>
  </si>
  <si>
    <t>ANTICIPAZIONE</t>
  </si>
  <si>
    <t>04000 / 02008 / D</t>
  </si>
  <si>
    <t>04010 / 01030 / J</t>
  </si>
  <si>
    <t>03204 / 05164 / J</t>
  </si>
  <si>
    <t>04000 / 02008 / O</t>
  </si>
  <si>
    <t>04000 / 02008 / I</t>
  </si>
  <si>
    <t>04297 / 05424 / B</t>
  </si>
  <si>
    <t>03392 / 01005 / S</t>
  </si>
  <si>
    <t>04000 / 02008 / J</t>
  </si>
  <si>
    <t>04007 / 03067 / W</t>
  </si>
  <si>
    <t>UNIVERSITA' DI BARI - DIPARTIMENTO PER LO STUDIO DELLE SOCIETA MEDITERRANEE</t>
  </si>
  <si>
    <t>CUM - COMUNITA DELLE UNIVERSITA' MEDITERRANEE</t>
  </si>
  <si>
    <t>UNIVERSITA' DEGLI STUDI DI FOGGIA - CENTRO INTERDIPARTIMENTALE BIOAGROMED</t>
  </si>
  <si>
    <t>Sarebbe necessario dare forte evidenza alle competenze multidisciplinari di grossa esperienza nel settore delle tecnologie innovative applicate alle tematiche ambientali.
Si sottolinea la presenza di una colonna “IVA” non meglio giustificata nella tabella dei costi, ed una richiesta di finanziamento superiore al massimo consentito (80% dei costi della quota pubblica del progetto)</t>
  </si>
  <si>
    <t>A pag. 32 è inserita la realizzazione di un filmato di backstage che forse andrebbe inserito in una attività di diffusione, divulgazione e trasferimento.</t>
  </si>
  <si>
    <t>A pag. 48 si parla di 24 mesi per l’attività di gestione progetto (il bando prevede 18 mesi).</t>
  </si>
  <si>
    <t>La durata a pag.2 è di 24 mesi mentre il progetto risulta sviluppato su 18 mesi.
E' presente la voce “iva ove dovuta” non richiesta in maniera scorporata.
Sono previste e indicate nelle attività di progetto n.1,2,3,4,8,9 delle attività di consulenza per spin off di partner del progetto Politecnico e Università. La cosulenza è ammissibile solo per le attività di sviluppo della soluzione tecnologia proposta.</t>
  </si>
  <si>
    <t>1 FORCOM
2 UNIONE COMUNI GRECIA SALENTINA
3 GALILEO CONSULTING</t>
  </si>
  <si>
    <t>fino a 5% spese generali</t>
  </si>
  <si>
    <t xml:space="preserve">totale quote sp. gen. Rend. </t>
  </si>
  <si>
    <t>spese generali I rendiconto</t>
  </si>
  <si>
    <t>spese generali II rendiconto</t>
  </si>
  <si>
    <t>spese generali III rendiconto</t>
  </si>
  <si>
    <t>IT19O0200804000000010562017</t>
  </si>
  <si>
    <t>Finanziamento richiesto (750.000) pari all 80,04% dell’importo progetto (937.000) superiore al massimo consentito secondo congruità con il bando
Valore spese geneali (pg.35) fuori norma rispetto al bando (5% totale spese ammissibili)
Errore di presentazione dei valori di spesa (totale personale, totale spese generali) a pag 48 della proposta, rispetto a quanto indicato a pg.35
Ruolo dell'operatore logistico SAPIO non è chiarito completamente.
Le attività di consulenza non sono espressamente referenziate e chiarite nella descrizione delle diverse attività</t>
  </si>
  <si>
    <t>E' presente la voce “iva ove dovuta” non espressamente richiesta in maniera scorporata.
Attività di consulenza non sempre circostanziate chiaramente, indicate nelle sole attività 3,4 e 5 (nelle sezioni: C:Le soluzioni tecnologiche proposte ed E: piano economico e finanziario) ma presentate nella tabella costi su tutte le attività.</t>
  </si>
  <si>
    <t>Eliminare la voce IVA;
A pag. 16 si parla di soluzione a regime e di eventuale candidatura del DIB nella gestione – andrebbe individuato il modello di business e organizzativo di un centro servizi dove il DIB e altri soggetti potranno proporsi come soggetti gestori a regime della soluzione e del business identificato. 
Perplessità sui bassi costi (circa 45.000) di gestione, ipotizzati a regime, della soluzione;
Nel modulo di web-learning andrebbe creata qualche funzionalità che gestisce/crea percorsi di apprendimento basati su approcci e modalità didattiche differenti per le differenti tipologie di potenziali utenti ;
La tabella costi a pag. 44 è errata e non conforme con quanto esposto con le tabelle a pag. 58, 59, 60</t>
  </si>
  <si>
    <t>Dettagliare i costi e le attività di consulenza all’interno dei diversi obiettivi realizzativi o attività del progetto, oltre che per la tipologia e quantità di noleggio e leasing attrezzature. 
Si dichiara di far ricorso alla sola voce di noleggio per un tempo limitato nell’attività 4
Dettagliare i costi espressi per licenze software anche alla luce delle nuove politiche open source</t>
  </si>
  <si>
    <t>Durata in mesi</t>
  </si>
  <si>
    <t>Banca Nazionale del Lavoro SPA c/o Consiglio Nazionale delle Ricerche</t>
  </si>
  <si>
    <t>MANDATO Ue/S - Reg</t>
  </si>
  <si>
    <t>MANDATO DATA</t>
  </si>
  <si>
    <t>IMPORTI</t>
  </si>
  <si>
    <t>Monte Paschi di Siena - Agenzia 2</t>
  </si>
  <si>
    <t>606542,92</t>
  </si>
  <si>
    <t>01030 / 16002 / T</t>
  </si>
  <si>
    <t>Monte Paschi di Siena</t>
  </si>
  <si>
    <t>Piazza S. Oronzo 73100 - Lecce</t>
  </si>
  <si>
    <t>Via Verdi, 14 - 73100 Lecce</t>
  </si>
  <si>
    <t>60645522</t>
  </si>
  <si>
    <t>16002 / 01030 / J</t>
  </si>
  <si>
    <t>Il numero di mesi è errato (24 anziché 18);
A pag. 20, 23 e 41 sono citate attività di indagini archeologiche che secondo il bando non sono finanziabili;
Nel paragrafo F si parla esclusivamente di formazione e corsi che non sono attività finanziabili;
A pag. 23 è ripetuto erroneamente il paragrafo di pag. 22;
A pag. 42 sono citate:“piattaforme abilitanti complesse ad oggetti distribuiti e cooperanti per i dominî applicativi dei beni culturali e del turismo; portali multifunzionali per la costruzione di percorsi di conoscenza e processi di e-learning”  sono risultati attesi dal WP3;
A pag. 43 si parla di “localizzazione con alto grado di precisione dell’utente”, ma non sono specificate sia le tecnologie di posizionamento sia i modelli e le tecnologie di fruizione  che si intende utilizzare;
A pag. 53 viene citato l’ICT-CNR sezione di Bari e occorre esplicitare su quali attività e temi intervengono queste competenze;
A pag. 55, paragrafo 6.8, manca completamente il modello organizzativo di supporto alla realizzazione del progetto;
Le consulenze specialistiche hanno alta incidenza sull’importo complessivo, così che sembra che molte attività siano esternalizzate (addirittura il wp1 non espone costi di personale, ma tutti di consulenze) specificare meglio le comptenze presenti nel partenariato ed equilibrare i costi di manpower e di consulenza;</t>
  </si>
  <si>
    <t>23553 - 23673</t>
  </si>
  <si>
    <t>23720 - 23802</t>
  </si>
  <si>
    <t>MANCA IMPEGNO AL COFINANZIAMENTO DI CLIOCOM PER L'IMPORTO DI 75K€ E QUINDI MANCA IL COFINANZIAMENTO PRIVATO DEL 10% ANCHE SE INDICATO DAL CAPOFILA NELLE TABELLE ECONOMICHE. PERTANTO MANCA IMPEGNO DELLA PARTE PRIVATA AL COFINANZIAMENTO DI ALMENO DEL 10% DEL COSTO DEL PROGETTO.
SOLO DICHIARAZIONI NON CONFORMI AL DPR 445/00 DEL DIPARTIMENTO DI SCIENZE DEI MATERIALI E DEL DIPARTIMENTO DI INGEGNERIA DI LECCE CHE DICHIARANO UN GENERICO COFINANZIAMENTO SENZA INDICARE PERCENTUALE O IMPORTI, NON ASSICURANDO LA COPERTURA FINANZIARIA.
FOTOCOPIA DEL DOCUMENTO DI IDENTITA' DEL LEGALE RAPPRESENTANTE DEL CAPOFILA NON VALIDO.</t>
  </si>
  <si>
    <t>0805717301 - Notarstefano (3384921449)</t>
  </si>
  <si>
    <t>g.dammacco@lex.uniba.it, info@poloeuromediterraneo.eu</t>
  </si>
  <si>
    <t>Starada prov. Monteroni - ecotekne 73100 LECCE</t>
  </si>
  <si>
    <t>Via per Monternoni - complesso Ecotekne Centro Congressi - LECCE</t>
  </si>
  <si>
    <t>V.le Turismo, 8  - 74100 TARANTO</t>
  </si>
  <si>
    <t>LE DICHIARAZIONI  AUTOCERTIFCATE PRESENTATE DAI PARTENER NON SONO CONFORMI AL DPR 445/00. NON VALIDE.</t>
  </si>
  <si>
    <t>NON CI SONO DELIBERE MA SOLO DICHIARAZIONI NON AUTOCERTIFICATE AI SENSI DPR 445/00 E MANCA DOC. DI IDENTITA DI LEGALE RAPPRESENTANTE DI PIPENET. LE DICHIARAZIONI NON SONO VALIDE E NON ASSICURANO IL COFINANZIAMENTO AL PROGETTO.
MANCA ACRONIMO PROGETTO.
ESCLUSA AI SENSI DELL'ART. 8 DEL BANDO.</t>
  </si>
  <si>
    <t xml:space="preserve">IT50Y0103004010000003622021 </t>
  </si>
  <si>
    <t>PER IL PARTNER 1 DICHIARAZIONE NON AUTOCERTIFICATA AI SENSI DEL DPR 445/00 CON DOCUMENTO DI IDENTITA'. NON INDICA PERCENTUALE NE' ENTITA' DEL COFINANZIAMENTO.
PER IL PARTNER 2 MANCA FOTOCOPIA DOCUMENTO DI IDENTITA' .DICHIARAZIONE CNR-ISSIA NON AUTOCERTIFICATA AI SENSI DEL DPR 445/00. NON INDICA VALORE DEL COFINANZIAMENTO
PER IL PARTNER 2 3 DICHIARAZIONE NON AUTOCERTIFICATA AI SENSI DEL DPR 445/00 CON FOTOCOPIA DOCUMENTO DI IDENTITA'. NON INDICA PERCENTUALE NE' VAOLRE DEL COFINANZIAMENTO.
NON E' POSSIBILE VALUTARE IL COFINANZIAMENTO TOTALE E NEMMENO QUELLO DI PARTE PRIVATA. LE DICHIARAZIONI NON SONO VALIDE AI SENSI DELL'ART. 9. PERTANTO LA DOCUMENTAZIONE E' INCOMPLETA E LA PROPOSTA E' ESCLUSA AI SENSI DELL'ART. 8 DEL BANDO.</t>
  </si>
  <si>
    <t>IL PARTNER 1 DICHIARA DI COFINZIARE PER UNA QUOTA DEL 12,4% DEI COSTI DI PROGETTO.
PER IL PARTNER 2 DICHIARAZIONE NON AUTOCERTIFICATA AI SENSI DEL DPR 445/00 SENZA FOTOCOPIA DEL DOCUMENTO DI IDENTITA'. DICHIARA DI COFINANZIARE PER UNA QUOTA DEL 7,6% INFERIORE AL 10% DI PARTE PRIVATA.</t>
  </si>
  <si>
    <t>PUNTEGGIO PROF</t>
  </si>
  <si>
    <t>PUNTEGGIO TECNOPOLIS</t>
  </si>
  <si>
    <t>TOTALE PUNTEGGIO</t>
  </si>
  <si>
    <t>Banca</t>
  </si>
  <si>
    <t>indirizzo Banca</t>
  </si>
  <si>
    <t>CAB / ABI / CIN</t>
  </si>
  <si>
    <t>C/C</t>
  </si>
  <si>
    <t>data richiesta contributo</t>
  </si>
  <si>
    <t>negativo</t>
  </si>
  <si>
    <t>LA TABELLA AL PUNTO 4 NON E' CONFORME AL BANDO. AL PUNTO l IL TEAM E' COMPOSTO DA 10 PARTNER DI CUI 4 COOFINANZIANO.
SOLO IL PARTNER 1 PRESENTA VERBALE DEL CONSIGLIO DI DIPARTIMENTO PER LA PARTECIPAZIONE, MENTRE PER IL COFINANZIAMENTO C'E' UNA DICHIARAZIONE NON AUTOCERTIFICATA AI SENSI DEL DPR 445/00E SENZA FOTOCOPIA DEL DOCUMENTO DI IDENTITA'.
TUTTI GLI ALTRI PARTNER PRESENTANO DICHIARAZIONI NON CONFORMI AL DPR 445/00 E SENZA FOTOCOPIA DEL DOCUMENTO DI IDENTITA' E SENZA COFINANZIAMENTO, AD ESCLUSIONE DEL PARTNER CONFCOMMERCIO.
IL TOTALE DEL COFINANZIAMENTO DEL 20% E' INTERAMENTE A CARICO DELLA PARTE PUBBLICA. ESCLUSA AI SENSI DELL'ART. 8 DEL BANDO.</t>
  </si>
  <si>
    <t>ALLEGATE LETTERE DI INTENTI E NON DICHIARAZIONI. LE LETTERE DI INTENTI DELLE AMMINISTRAZIONI NON SONO DELIBERAZIONI E  LE LETTERE DEGLI ALTRI PARTNER SONO TUTTE NON CONFORMI AL DPR 445/00 COME RICHIESTO DALL'ART. 9 DEL BANDO.</t>
  </si>
  <si>
    <t>L'ENTE RESPONSABILE DELL'ATTUAZIONE E' IL PARTNER APIT SCARL (SOGG. PRIVATO) INDICATO ANCHE COME CAPOFILA.
LA TABELLA 4 DEI COSTI DI PROGETTO RIPORTA ZERO COME CONTRIBUTO DEL PRIVATO.
IL PROSPETTO 7.3 NON E' REDATTO IN CONFORMITA' ALLA SCHEDA DEL BANDO.
MANCA L'ULTIMA PAGINA DEL FORMULARIO CON LA DICHIARAZIONE E LA FIRMA DEL LEGALE RAPPRESENTANTE (NIGRO) DELLA CAPOFILA MERQURIS. LE RESTANTI PAGINE NON SONO SIGLATE DAL LEGALE RAPPRESENTANTE DELLA CAPOFILA COME RICHIESTO DAL BANDO.
MANCA DOCUMENTO DI IDENTITA' DI NIGRO LEGALE RAPPRESENTANTE DELLA CAPOFILA.
LA TABELLA INIZIALE DI SINTESI DELLE INFORMAZIONI NON E' CONFORME AL BANDO.</t>
  </si>
  <si>
    <t>MANCA INDICAZIONE AREA TEMATICA
SONO TUTTE DICHIARAAZIONI DI INTENTI NON AUTOCERTIFICATE E SENZA DOC DI RICONOSC. NON SONO VALIDE AI SENSI DELL'ART. 9 DEL BANDO E NON GARANTISCONO LA COPERTURA FINANZIARIA DEL PROGETTO.
PER LA MANCANZA DELLA DOCUMENTAZIONE RICHIESTA LA PROPOSTA E' ESCLUSA PER EFFETTO DELL'ART. 8 DEL BANDO</t>
  </si>
  <si>
    <t>codice fiscale</t>
  </si>
  <si>
    <t>PRESENTANO TUTTI DICH DI IMPEGNO NON AUTOCERTIFICATE COME DA ART. 9 DEL BANDO. NON VALIDE.
INDICANDO TUTTE UN GENERICO "COFINANZIAMENTO SECONDO LE MODALITà PREVISTE NEL BANDO" SENZA DARNE LE DIMENSIONI E NON CONSENTE DI VALUTARE L'ENTITA' DELLO STESSO E IL CONTRIBUTO DELLA PARTE PRIVATA.
ESCLUSA AI SENSI DEL'ART. 8 DEL BANDO</t>
  </si>
  <si>
    <t>CI SONO LE DICHIARAZIONI  NON CONFORMI AL DPR 445/00. NON VALIDE. ESCLUSA</t>
  </si>
  <si>
    <t>NON CI SONO DELIBERE MA SOLO DICHIARAZIONI NON AUTOCERTIFICATE AI SENSI DPR 445/00 E MANCA DOC IDENTITà DI LEGALE RAP DI PIPENET. LE DICHIARAZIONI NON SONO VALIDE E NON ASSICURANO IL COFINANZIAMENTO AL PROGETTO.
MANCA ACRONIMO PROGETTO.
ESCLUSA</t>
  </si>
  <si>
    <t>SONO TUTTE DICHIARAZIONI AUTOCERTIFI CON DOC IDENT.
IL COFINANZIAMENTO DEL 20% E' ASSICURATO TUTTO DALLA PARTE PRIVATA P. 2 E 3. OK</t>
  </si>
  <si>
    <t>IT38B0542404297000007001002</t>
  </si>
  <si>
    <t>VIA ARPI, 155 - 71100 FOGGIA</t>
  </si>
  <si>
    <t>P. 1 DICH NON AUTOCERT CON DOC DI IDENT. NON INDICA PERCENTUALE Né VAOLRE DEL COFINAN
P. 2 MANCA DOCUMENTO DI IDENTITA RELATIVO ALLA DICHIARAZIONE CNR-ISSIA NON AUTOCERTIFICATA E SENZA DOC IDENTIT. NON INDICA VALORE DEL COFINANZIAMENTO
P. 3 DICH NON AUTOCERT CON DOC DI IDENT. NON INDICA PERCENTUALE Né VAOLRE DEL COFINAN.
NON è POSSIBILE VALUTARE IL COFINANZ TOTALE E NEMMENO QUELLO DELLA PARTE PROVATA. LE DICH NON SONO VALIDE AI SENSI DELL'ART. 9. PERTANTO LA DOC E' INCOMPLETA E LA PROPOSTA ESCLUSA AI SENSI DELL'ART. 8</t>
  </si>
  <si>
    <t>P.1 DICH AUTOCERTIFI CON DOC IDENT. OK COFINANZIA PER  12,4%
P.2 DICH NON AUTOCERTIF. SENZA DOC DI RICONSC. E PER UN COFINANZ PRIVATO DEL 7,6% INFERIORE AL 10% DI CUI ALL'ART. 8 DEL BANDO. ESCLUSA.</t>
  </si>
  <si>
    <t>OK TUTTE DICHIARAZIONI AUTOCERTIFICATE CON DOC DI RICONOSC. COFINANZIAMENTO ASSICURATO E ANCHE IL 10% DEL PRIVATO</t>
  </si>
  <si>
    <t>e.bosna@sc-formaz.uniba.it</t>
  </si>
  <si>
    <t>000010561971</t>
  </si>
  <si>
    <t>10562004</t>
  </si>
  <si>
    <t>04000 / 02008 / M</t>
  </si>
  <si>
    <t>IT57S0100503392000000218155</t>
  </si>
  <si>
    <t>liquidato con rendiconto finale</t>
  </si>
  <si>
    <t>LA TABELLA AL PUNTO (4) NON E' CONFORME AL BANDO. AL PUNTO (L) IL TEAM E' COMPOSTO DA 10 PARTNER DI CUI 4 COOFINANZIANO.
SOLO IL P. 1 PRESENTA VERBALE DEL CONS DI DIPARTIMENTO PER LA PARTECIPAZIONE. MENTRE PER IL COFIN. C'E' UNA DICHIARAZIONE NON AUTOCERTIFICATA E SENZA DOC DI IDENTITA'.
TUTTI GLI ALTRI P. PRESENTANO DICH NON CONFORMI AL DPR 445/00 E SENZA DOC DI RICONOSC. E SENZA COFINANZ. AD ESCLUSIONE DELLA CONFCOMMERCIO CHE COFINANZ. 
IL TOTALE DEL COFINANZIAMENTO DEL 20% è TOT PUBBLICO. MANCA LA QUOTA DEL 10% DEL COFIN DEL PROVATO E QUINIDI ESCLUSA AI SENSI DELL'ART. E DEL BANDO.</t>
  </si>
  <si>
    <t>1 POLITECNICO DI BARI - DVT -DEE - DICA (TRE DIP)
2 IDNOVA SRL
3 COMUNE DI BARI
4 E.A.FIERA DEL LEVANTE
5 AUTORITA PORTUALE DI BARI</t>
  </si>
  <si>
    <t>SPRINTER</t>
  </si>
  <si>
    <t>0881589342</t>
  </si>
  <si>
    <t>0881589223 - 3298798604 collaborat= Viviana Di Cosmo 320.4394766 - 0881338510</t>
  </si>
  <si>
    <t>P.1  DIC NON AUTOCERTIFICATA E SENZA DOC IDENTITA'. NON VALIDE E NON GARANTISCE IL CONTROIBUTO PUBBLICO.
P. 3 E 4 OK DIC AUTOCERTIF CON DOC RICONOSCIM. COFINANZIANO 66KE.
P. 5 FOTOCOPIA DI UNA DIC AUTOCERTIFICATA CON DOC DI RICONOSCMENTO. NON VALIDA
P. 2 PARTNER PRIVATO DICH IN FOTOCOPIA E PER COF. DI SOLI 30,5KE MINORE DEL 10% NECESSARIO DELLA PARTE PRIVATA.
ESCLUSA AI SENSI DELL'ART 8 DEL BANDO</t>
  </si>
  <si>
    <t>PROPONENTE</t>
  </si>
  <si>
    <t>INDIRIZZO</t>
  </si>
  <si>
    <t>Via Delle Magnolie, 4 - 70026 MODUGNO (BA)</t>
  </si>
  <si>
    <t>C.N.R. ISTITUTO PER LE TECNOLOGIE DELLA COSTRUZIONE - BARI (CNR-ITC)</t>
  </si>
  <si>
    <t>Strada Crocifisso 2/B - 70125 BARI</t>
  </si>
  <si>
    <t>UNIVERSITA' DI BARI - CENTRO INTERDIPARTIMENTALE DI RICERCA SU METODOLOGIE E TECNOLIGE AMBIENTALI (METEA)</t>
  </si>
  <si>
    <t>Via Celso Ulpiani 27 - 70126 BARI</t>
  </si>
  <si>
    <t>P.zza Umberto 1 - 70121 BARI</t>
  </si>
  <si>
    <t>UNIVERSITA' DI BARI - DIPARTIMENTO DI CHIMICA</t>
  </si>
  <si>
    <t>Via Orabona 4 - 70126 BARI</t>
  </si>
  <si>
    <t>Via Orabona 4 - 70125 BARI</t>
  </si>
  <si>
    <t>UNIVERSITA' DI BARI - DIPARTIMENTO DI SCIENZE DELL'ANTICHITA'</t>
  </si>
  <si>
    <t>P.zza Cesare Battisti, 1 - 70123 BARI</t>
  </si>
  <si>
    <t>Via Gramsci, 89/91 - 71100 FOGGIA</t>
  </si>
  <si>
    <t>C/O UNILE-DIP SCIENZE E TECNOLOGIE BIOLOGICHE E AMBIENTALI - Via Monteroni - 73100 LECCE</t>
  </si>
  <si>
    <t>UNIVERSITA' DI LECCE - DIPARTIMENTO BENI CULTURALI</t>
  </si>
  <si>
    <t>PERSONALE</t>
  </si>
  <si>
    <t xml:space="preserve">IT76 J010 3004 0100 0000 3621 928  </t>
  </si>
  <si>
    <t>disimpegno</t>
  </si>
  <si>
    <t>ipotesi disimpegno</t>
  </si>
  <si>
    <t>quota I e II rendiconto</t>
  </si>
  <si>
    <t>19906 - 20024</t>
  </si>
  <si>
    <t>10/10/20008</t>
  </si>
  <si>
    <t>V SAL</t>
  </si>
  <si>
    <t>quota V rendiconto</t>
  </si>
  <si>
    <t>cofinanz. Privato V rendiconto</t>
  </si>
  <si>
    <t>spese generali V rendiconto</t>
  </si>
  <si>
    <t>al 15/09/08</t>
  </si>
  <si>
    <t xml:space="preserve">IT46W0306704007000000050171  </t>
  </si>
  <si>
    <t>CONSULENZE</t>
  </si>
  <si>
    <t>LICENZE  SOFTWARE</t>
  </si>
  <si>
    <t>NOL0 LEASING AMMORT.</t>
  </si>
  <si>
    <t>SPESE GENERALI</t>
  </si>
  <si>
    <t>TOTALE</t>
  </si>
  <si>
    <t>INFRASTRUTTURE</t>
  </si>
  <si>
    <t>SOFTWARE</t>
  </si>
  <si>
    <t>quota I - II rendiconto</t>
  </si>
  <si>
    <t>cofinanz. Privato I - II rendiconto</t>
  </si>
  <si>
    <t>spese generali I - II rendiconto</t>
  </si>
  <si>
    <t>IT53D0200804000000010561971</t>
  </si>
  <si>
    <t>Via Birago 64 - 73100 LECCE</t>
  </si>
  <si>
    <t>Via Monteroni - 73100 LECCE</t>
  </si>
  <si>
    <t>Via per Arnesano - 73100 LECCE</t>
  </si>
  <si>
    <t>C.N.R. - UFFICIO II - SVILUPPO E APPLICAZONE DEI SISTEMI INFORMATIVI TERRITORIALI (SASIT)</t>
  </si>
  <si>
    <t>Piazzale Aldo Moro 7 - 00185 ROMA</t>
  </si>
  <si>
    <t>CONSORZIO INTERUNIVERSITARIO FORMAZIONE PER LA COMUNICAZIONE (FOR.COM.)</t>
  </si>
  <si>
    <t>Via Virgilio Orsini 17/a - 00192 ROMA</t>
  </si>
  <si>
    <t>UNIVERSITA' DI ROMA "LA SAPIENZA" - DIPARTIMENTO IDRAULICA TRASPORTI E STRADE (DITS)</t>
  </si>
  <si>
    <t>Via Eudossiana 18 - 00184 ROMA</t>
  </si>
  <si>
    <t>UNIVERSITA' TELEMATICA GUGLIELMO MARCONI</t>
  </si>
  <si>
    <t>Via Francesco De Sanctis,11 - 00195 ROMA</t>
  </si>
  <si>
    <t>AREA TEMATICA</t>
  </si>
  <si>
    <t>Acronimo progetto</t>
  </si>
  <si>
    <t>Costo progetto</t>
  </si>
  <si>
    <t>Contributo richiesto</t>
  </si>
  <si>
    <t>C</t>
  </si>
  <si>
    <t>ID</t>
  </si>
  <si>
    <t>N</t>
  </si>
  <si>
    <t>IT81N0542404010000001058187</t>
  </si>
  <si>
    <r>
      <t>Trasferibilità(15)</t>
    </r>
    <r>
      <rPr>
        <sz val="8"/>
        <rFont val="Arial"/>
        <family val="2"/>
      </rPr>
      <t>: Esemplarità e trasferibilità, ovvero possibilità di effettiva realizzazione d’esperienze e di diffusione dell’innovazione in ambito regionale.</t>
    </r>
  </si>
  <si>
    <r>
      <t>Organizzazione (20)</t>
    </r>
    <r>
      <rPr>
        <sz val="8"/>
        <rFont val="Arial"/>
        <family val="2"/>
      </rPr>
      <t>: L’adeguatezza e qualità dell’organizzazione proposta per realizzare le attività (modello organizzativo, quantità e qualità delle risorse impiegate, infrastrutture, etc…)</t>
    </r>
  </si>
  <si>
    <r>
      <t>Giovani (10)</t>
    </r>
    <r>
      <rPr>
        <sz val="8"/>
        <rFont val="Arial"/>
        <family val="2"/>
      </rPr>
      <t>: Grado di coinvolgimento nel progetto di giovani ricercatori e sostegno al principio delle pari opportunità</t>
    </r>
  </si>
  <si>
    <t>BARI</t>
  </si>
  <si>
    <t>ROMA</t>
  </si>
  <si>
    <t>SPEDIZIONE</t>
  </si>
  <si>
    <t>DATA</t>
  </si>
  <si>
    <t>ORA</t>
  </si>
  <si>
    <t>PROV.</t>
  </si>
  <si>
    <t>INTEGRITA' PLICO</t>
  </si>
  <si>
    <t>DIZIONE BANDO</t>
  </si>
  <si>
    <t>N. PARTNER</t>
  </si>
  <si>
    <t>PARTNER</t>
  </si>
  <si>
    <t>osservazioni</t>
  </si>
  <si>
    <t>esito preistruttoria</t>
  </si>
  <si>
    <t>tel</t>
  </si>
  <si>
    <t>fax</t>
  </si>
  <si>
    <t>080 5482533</t>
  </si>
  <si>
    <t>DIPARTIMENTO DI INGEGNERIA CIVILE E AMBIENTALE - POLITECNICO DI BARI</t>
  </si>
  <si>
    <t>Via Orabona, 4 - 70125 BARI</t>
  </si>
  <si>
    <t>Via U. di Toscana, 50100 FIRENZE</t>
  </si>
  <si>
    <t>LABORATORIO DI MERCEOLOGIA E QUALITA DELLE RISORSE (MERQUIS), POLO DELLE SCIENZE SOCIALI DI NOVOLI - UNUVERSITA DEGLI STUDI DI FIRENZE</t>
  </si>
  <si>
    <t>POLITECNICO DI BARI - DIPARTIMENTO DI INGEGNERIA MECCANICA E GESTIONALE</t>
  </si>
  <si>
    <t>Via Amendola 165/B - 70121 BARI</t>
  </si>
  <si>
    <t>CONISMA - CONSORZIO NAZIONALE INTERUNIVERSITARIO PER LE SCIENZE DEL MARE</t>
  </si>
  <si>
    <t>UNIVERSITA DEGLI STUDI DI FOGGIA - CENTRO INTERDIPARTIMENTALE BIOAGROMED</t>
  </si>
  <si>
    <t>UNIVERSITA' DI LECCE - DIPARTIMENTO DI SCIENZE E TECNOLOGIE BIOLOGICHE ED AMBIENTALI - CENTRO ECOTEKNE</t>
  </si>
  <si>
    <t>Strada Provinciale Lecce - Monteroni  73100 LECCE</t>
  </si>
  <si>
    <t>QUOTA UE</t>
  </si>
  <si>
    <t>quota stato</t>
  </si>
  <si>
    <t>0832295512 - 0832296338 - 0832295513 545 prof.ssa valchiera 3398434554 - adriana.valchera@ateneo.unile.it</t>
  </si>
  <si>
    <t>referente scientifico</t>
  </si>
  <si>
    <t>Prof. Achille Claudio Garavelli</t>
  </si>
  <si>
    <t>Prof. Massimo Monteleone</t>
  </si>
  <si>
    <t>Prof. Carlo Storelli</t>
  </si>
  <si>
    <t>Prof. Giovanni Aloisio</t>
  </si>
  <si>
    <t>Prof. ing. Carlo Mongelli</t>
  </si>
  <si>
    <t>Prof. Francesco Losurdo</t>
  </si>
  <si>
    <t>Prof.ssa M.Raffaella Cassano</t>
  </si>
  <si>
    <t>Prof. Piero Masini</t>
  </si>
  <si>
    <t>Prof. Marcello Guaitoli</t>
  </si>
  <si>
    <t>Prof. Giorgio Otranto</t>
  </si>
  <si>
    <t>Prof. E. Bosna</t>
  </si>
  <si>
    <t>Prof. Giuliano Volpe</t>
  </si>
  <si>
    <t>Prof.  Gaetano Dammacco</t>
  </si>
  <si>
    <t>Prof. Alessandro Reina</t>
  </si>
  <si>
    <t>NATIONAL  NANOTECHNOLOGY LABORATORY/CNR - INFM - DISTRETTO TECNOLOGICO, PAL. B</t>
  </si>
  <si>
    <t>DIPARTIMENTO DI ARCHITETTURA E URBANISTICA - POLITECNICO DI BARI</t>
  </si>
  <si>
    <t>DIP. DI SCIENZE DELL'INGEGNERIA CIVILE E DELL'ARCHITETTURA - POLITECNICO DI BARI</t>
  </si>
  <si>
    <t>Via E. Orabona, 4   - 70125 - BARI</t>
  </si>
  <si>
    <t>UNIVERSITA DI BARI - DIPARTIMENTO PER LO STUDIO DELLE SOCIETA MEDITERRANEE</t>
  </si>
  <si>
    <t>Villa La Rocca  -  Via Celso Ulpiani, 27 - 70125 BARI</t>
  </si>
  <si>
    <t>CONSIGLIO NAZIONALE DELLE RICERCHE - ISTITUTO PER LE APPLICAZIONI DEL CALCOLO "M. PICONE"</t>
  </si>
  <si>
    <t>CIRIAF</t>
  </si>
  <si>
    <t>Via Duranti 67 - 06125  PERUGIA</t>
  </si>
  <si>
    <t>C.R.C.A. - POLITECNICO DI BARI</t>
  </si>
  <si>
    <t>Via Amendola 126/B - 70126 BARI</t>
  </si>
  <si>
    <t>C.N.R. - ISTITUTO PER LA MICROELETTRONICA E I MICROSISTEMI</t>
  </si>
  <si>
    <t>UNIVERSITA DEGLI STUDI DI BARI - DIP. DI STUDI CLASSICI E CRISTIANI</t>
  </si>
  <si>
    <t>STR. TORRETTA (CITTA VECCHIA) 70122 BARI</t>
  </si>
  <si>
    <t xml:space="preserve">UNIVERSITA DEGLI STUDI DI BARI - DIP. DI SCIENZE STORICHE E GEOGRAFICHE </t>
  </si>
  <si>
    <t>Via Quintino Sella, 268 70121 BARI</t>
  </si>
  <si>
    <t>DIPARTIMENTO DI VIE E TRASPORTI - POLITECNICO DI BARI</t>
  </si>
  <si>
    <t>BUSTA CON PROGETTO E CD</t>
  </si>
  <si>
    <t>A</t>
  </si>
  <si>
    <t>0805717903</t>
  </si>
  <si>
    <t>0805717918</t>
  </si>
  <si>
    <t>CUSTOS</t>
  </si>
  <si>
    <t>PROTOCOLLO</t>
  </si>
  <si>
    <t>DATA PROTOC</t>
  </si>
  <si>
    <t>0279</t>
  </si>
  <si>
    <t>RAC</t>
  </si>
  <si>
    <t>BA</t>
  </si>
  <si>
    <t>SI</t>
  </si>
  <si>
    <t>1 DIPARTIMENTO STUDI CLASSICI E CRISTIANI
2 POLITECNICO DEE
3 PARCO NAZIONALE DEL GARGANO
4 DIGIVOX
5 BPM
6 SOFTWARE DESIGN
7 TESEO
8 PASSATURI D'ACQUASALA</t>
  </si>
  <si>
    <t>DIPARTIMENTO DI INGEGNERIA DELL'AMBIENTE E PER LO SVILUPPO SOSTENIBILE (DIASS) POLITECNICO DI BARI</t>
  </si>
  <si>
    <t>B</t>
  </si>
  <si>
    <t>0994733303</t>
  </si>
  <si>
    <t>0994733304</t>
  </si>
  <si>
    <t>SIMOTEP</t>
  </si>
  <si>
    <t>0202</t>
  </si>
  <si>
    <t>24033 - 24239</t>
  </si>
  <si>
    <t>TA</t>
  </si>
  <si>
    <t>0805442429</t>
  </si>
  <si>
    <t>SIGEMMEP</t>
  </si>
  <si>
    <t>0201</t>
  </si>
  <si>
    <t>NO</t>
  </si>
  <si>
    <t>CIASU - Centro Internazionale Alti Studi Universitari</t>
  </si>
  <si>
    <t>C.da Giardinelli, Laureto di Fasano (BR)</t>
  </si>
  <si>
    <t>0805968331</t>
  </si>
  <si>
    <t>0805571126</t>
  </si>
  <si>
    <t>TELE.SICUR.TRAS</t>
  </si>
  <si>
    <t>0190</t>
  </si>
  <si>
    <t>RAC. AR</t>
  </si>
  <si>
    <t>BR</t>
  </si>
  <si>
    <t>1 CIASU
2 LORAN SRL
3 LOMBARDI ECOLOGIA</t>
  </si>
  <si>
    <t>0832298722</t>
  </si>
  <si>
    <t>TWCHENNEL</t>
  </si>
  <si>
    <t>0200</t>
  </si>
  <si>
    <t>RAC.AR</t>
  </si>
  <si>
    <t>LE</t>
  </si>
  <si>
    <t>CIRPS-CENTRO INTERUNIVERSITARIO DI RICERCA PER LO SVILUPPO SOSTENIBILE UNIVERSITA DI ROMA "LA SAPIENZA" - SEDE REG. PUGLIESE</t>
  </si>
  <si>
    <t>1 CIRPS
2 COM.OTRANTO
3 IAMC-CNR
4 ISMAR-CNR
5 PR.BRINDISI
6 PR. LECCE
7 ARPA
8 PARCO DEL GARGANO
9 TELE-RAMA
10 IPA SRL</t>
  </si>
  <si>
    <t>0832422500</t>
  </si>
  <si>
    <t>0832422552</t>
  </si>
  <si>
    <t>0271</t>
  </si>
  <si>
    <t>1 IMM-CNR
2 ISSIA-CNR
3 AEROPORTI DI PUGLIA SPA</t>
  </si>
  <si>
    <t>0832320649</t>
  </si>
  <si>
    <t>0832298626</t>
  </si>
  <si>
    <t>PR.O.TEC</t>
  </si>
  <si>
    <t>SIAP</t>
  </si>
  <si>
    <t>0194</t>
  </si>
  <si>
    <t>0881338446</t>
  </si>
  <si>
    <t>0881338449</t>
  </si>
  <si>
    <t>CYBERPARK 2000</t>
  </si>
  <si>
    <t>0196</t>
  </si>
  <si>
    <t>FG</t>
  </si>
  <si>
    <t>1 UNIV.FOGGIA-CENTRO INTERDIPARTIMENTALE BIOAGRIMED
2 CNR-IMAA
3 COMUNE DI FOGGIA
4 PROV. DI FOGGIA
5 COMUNITA MONTANA MERIDIONALE
6 MAD SRL
7 PUNTO QUALITA SRL
8 CENTRO STUDI NATURALISTICI-CSN-ONLUS
9 DPM ELETTRONICA</t>
  </si>
  <si>
    <t>CNR - IMIP  ISTITUTO DI METODOLOGIE INORGANICHE E DEI PLASMI</t>
  </si>
  <si>
    <t>0805442088</t>
  </si>
  <si>
    <t>0805929520</t>
  </si>
  <si>
    <t>OPENPUGLIA</t>
  </si>
  <si>
    <t>0275</t>
  </si>
  <si>
    <t>1 IMIP - CNR
2 ISSIA - CNR
3 UNIVERSUS CSEI
4 COMUNE DI GRAVINA
5 MURGIA SVILUPPO SPA
6 GRAVINA ON LINE
7 TELENORBA
8 NUOVI ORIZZONTI
9 PLANS CONSULTING NET
10 COTUP</t>
  </si>
  <si>
    <t>Via Amendola 122/D
BARI</t>
  </si>
  <si>
    <t>0805929740</t>
  </si>
  <si>
    <t>0805929770</t>
  </si>
  <si>
    <t>SIGREEN</t>
  </si>
  <si>
    <t>0277</t>
  </si>
  <si>
    <t>1 CNR-IAC
2 CNR-ISSIA
3 DSPV-UNIBA
4 CONS. CLIO COM
5 ENTE PARCO NAZ. DEL    GARGANO
6 DIBIOPAVE-UNIBA</t>
  </si>
  <si>
    <t>0639867251-216
0833564890</t>
  </si>
  <si>
    <t>0639763107</t>
  </si>
  <si>
    <t>VIST@</t>
  </si>
  <si>
    <t>0199</t>
  </si>
  <si>
    <t>1 UNIVERSITA TELEMATICA G.MARCONI
2 AG. PER IL PATRIMONIO CULTURALE EUROMEDITERRANEO
3 COMUNE DI LECCE
4 VISION 2000 SRL</t>
  </si>
  <si>
    <t>C.N.R. - ITIA
SEZIONE DI BARI</t>
  </si>
  <si>
    <t>0802468107</t>
  </si>
  <si>
    <t>0802468252</t>
  </si>
  <si>
    <t>ALSIS</t>
  </si>
  <si>
    <t>0186</t>
  </si>
  <si>
    <t>1 ITIA-CNR
2 ISSIA-CNR
3 TAIVER</t>
  </si>
  <si>
    <t>0805962508</t>
  </si>
  <si>
    <t>0805962510</t>
  </si>
  <si>
    <t>APRIPARCHI</t>
  </si>
  <si>
    <t>0192</t>
  </si>
  <si>
    <t>1 DAU - POLIBA
2 DIB - UNIBA
3 PROGESA - UNIBA
4 DFT - UNIBA
5 PRIME - UNIFG
6 LINKS</t>
  </si>
  <si>
    <t>TI3</t>
  </si>
  <si>
    <t>0281</t>
  </si>
  <si>
    <t>0805717272 - 0805442536 Caivano-visaggio</t>
  </si>
  <si>
    <t>I SAL Tecnico Data accettazione</t>
  </si>
  <si>
    <t>0805717254-0805442300 Caivano 3299374083</t>
  </si>
  <si>
    <t>0805962719 - (2144 sig.ra chiricallo)</t>
  </si>
  <si>
    <t>UNIVERSITA' DI BARI - DIPARTIMENTO DI SCIENZE PEDAGOGICHE E DIDATTICHE</t>
  </si>
  <si>
    <t>0805714508</t>
  </si>
  <si>
    <t>0805714638</t>
  </si>
  <si>
    <t>GENOMENA</t>
  </si>
  <si>
    <t>0278</t>
  </si>
  <si>
    <t>1 DIP.SC. PEDAG. E DID.
2 DIP. INFORMATICA
3 IRRE PUGLIA
4 U.S.R. PUGLIA
5 CONS. IDRIA
6 OXERO SRL
7 GRIFO SRL
8 PROAGO SRL</t>
  </si>
  <si>
    <t>DIP. DI SCIENZE UMANE  TERRITORIO E BENI CULTURALI - UNIVERSITA DEGLI STUDI DI FOGGIA</t>
  </si>
  <si>
    <t>VIA ARPI, 155
70100 FOGGIA</t>
  </si>
  <si>
    <t>0881587636</t>
  </si>
  <si>
    <t>0881587635</t>
  </si>
  <si>
    <t>ITINERA</t>
  </si>
  <si>
    <t>0282</t>
  </si>
  <si>
    <t>COSTO PROGETTO ESECUTIVO</t>
  </si>
  <si>
    <t>QUOTA REGIONE</t>
  </si>
  <si>
    <t>ATS</t>
  </si>
  <si>
    <t>Convenzione</t>
  </si>
  <si>
    <t>1 DISCUM
2 UNIV. FOGGIA-DSGP
3 POLIBA - DEE
4 PROV. DI FG
5 ISUFI
6 AG. PER IL PATRIM.CULTURALE EUROMEDIT.
7 TESEO
8CCBC
9HGV ADVERTISING
10SOLUZIONEQUALITA
11 CLAUDIO GRENZI EDITORE
12 GRAFISYSTEM</t>
  </si>
  <si>
    <t>0805442023</t>
  </si>
  <si>
    <t>AQUISUM</t>
  </si>
  <si>
    <t>0197</t>
  </si>
  <si>
    <t>1 UNIBA
2 LENVIROS SRL</t>
  </si>
  <si>
    <t>0832295512</t>
  </si>
  <si>
    <t>0832295506</t>
  </si>
  <si>
    <t>SIBECS</t>
  </si>
  <si>
    <t>0280</t>
  </si>
  <si>
    <t>1 DIP. BENI CULTURALI
2 DIP. SCIENZE SOCIALI E DELLA COMUNICAZIONE
3 DIP. ING.DELL'INNOVAZ.
4 CNR IBAM
5 ISUFI
6 COMUNE DI LECCE
7 PROV. DI LECCE
8 TECNOLOGIE AVANZATE
9 SALTON
10 EVOLVIT</t>
  </si>
  <si>
    <t>0805963700</t>
  </si>
  <si>
    <t>0805963823</t>
  </si>
  <si>
    <t>E-CICERO</t>
  </si>
  <si>
    <t>0191</t>
  </si>
  <si>
    <t>1 POLIBA - ICAR
2 POLIBA - DEE
3 UNIBA - DI
4 COMUNE ASCOLI
5 COMUNE CONVERSANO
6 COMUNE TREMITI
7 SERVIZI GLOBALI
8 MICRO LABEN
9 MAC&amp;NIL</t>
  </si>
  <si>
    <t>080 5481265
0805481621</t>
  </si>
  <si>
    <t>SITAP</t>
  </si>
  <si>
    <t>0166</t>
  </si>
  <si>
    <t>0805962111</t>
  </si>
  <si>
    <t>0805962520</t>
  </si>
  <si>
    <t>BOD</t>
  </si>
  <si>
    <t>0187</t>
  </si>
  <si>
    <t xml:space="preserve">1 POLIBA - DIMEG
2 POLIBA - DEE
3 SUD SISTEMI
4 CEZANNE SOFTWARE
5 AMTAB SERVIZIO
</t>
  </si>
  <si>
    <t>0805478337</t>
  </si>
  <si>
    <t>TIBE</t>
  </si>
  <si>
    <t>0188</t>
  </si>
  <si>
    <t>1 CUM
2 DYRECTA SNC
3 MATRIX SRL
4 FERROVIE DEL SUD-EST SRL
5 FERROVIE DEL GARGANO SRL
6 FERROTRAMVIARIA BARI SPA</t>
  </si>
  <si>
    <t>0644585089</t>
  </si>
  <si>
    <t>0644585091</t>
  </si>
  <si>
    <t>SIMBA</t>
  </si>
  <si>
    <t>0299</t>
  </si>
  <si>
    <t>1 DITS
2 ARPAL IT SRL
3 SIGEMI SRL</t>
  </si>
  <si>
    <t xml:space="preserve">0805714271-4200-4455
</t>
  </si>
  <si>
    <t>0805714697-4641</t>
  </si>
  <si>
    <t>MONICA</t>
  </si>
  <si>
    <t>0189</t>
  </si>
  <si>
    <t>1 UNIBA-DSSM
2 UNIBA-DI
3 POLIBA-DEE
4 COIMBA
5 MERIDIONALE SERVIZI
6 CONFCOOPERATIVE</t>
  </si>
  <si>
    <t>0805714414</t>
  </si>
  <si>
    <t>0805714206</t>
  </si>
  <si>
    <t>FOVEA</t>
  </si>
  <si>
    <t>0274</t>
  </si>
  <si>
    <t xml:space="preserve">RAC. </t>
  </si>
  <si>
    <t>1 DIP.SCIENZE ANTICHITA'
2 COM. DI FASANO
3 ENTE PROV. TURISMO
4 GEOSYSTEMS SRL</t>
  </si>
  <si>
    <t>063608151</t>
  </si>
  <si>
    <t>0636005661</t>
  </si>
  <si>
    <t>DEMOS</t>
  </si>
  <si>
    <t>0296</t>
  </si>
  <si>
    <t>1 FORCOM
2 UNIONE COMUNI GRECIA SALENTINA
3 SCT PROJECT SAS</t>
  </si>
  <si>
    <t>0554374033</t>
  </si>
  <si>
    <t>0100</t>
  </si>
  <si>
    <t>1 MERQURIS
2 APIT
3 ASSIFORM
4 ASTERIA</t>
  </si>
  <si>
    <t>0805714717</t>
  </si>
  <si>
    <t>ICTXBCT</t>
  </si>
  <si>
    <t>0283</t>
  </si>
  <si>
    <t>1 UNIBA-DIP.SC.STORICHE GEOGRAFICHE
2 CONFCOMMERCIO TARANTO
3 SOPRINTENDENZA ARCHEOLOGICA PUGLIA
4 IST. PER LA STORIA E L'ARCH. DELLA MAGNA GRECIA</t>
  </si>
  <si>
    <t>0832298137</t>
  </si>
  <si>
    <t>0832298173</t>
  </si>
  <si>
    <t>SIGESMU</t>
  </si>
  <si>
    <t>0193</t>
  </si>
  <si>
    <t>DIPARTIMENTO GIURIDICO DELLE ISTITUZIONI, AMMINISTRAZIONE E LIBERTA' - UNIVERSITA' DI BARI</t>
  </si>
  <si>
    <t>0805717301</t>
  </si>
  <si>
    <t>S.P.R.I.N.T.E.R.</t>
  </si>
  <si>
    <t>0203</t>
  </si>
  <si>
    <t>0805714508 / 0805714507 sig.ra guerrieri o sig boccone</t>
  </si>
  <si>
    <t>I SAL</t>
  </si>
  <si>
    <t>I SAL Importo</t>
  </si>
  <si>
    <t>I SAL Data</t>
  </si>
  <si>
    <t>I SAL Data accettazione MIRWEB</t>
  </si>
  <si>
    <t>I SAL Quota 80%</t>
  </si>
  <si>
    <t>partita IVA</t>
  </si>
  <si>
    <t>02118311006</t>
  </si>
  <si>
    <t>80054330586</t>
  </si>
  <si>
    <t>03890551009</t>
  </si>
  <si>
    <t>94045260711</t>
  </si>
  <si>
    <t>03016180717</t>
  </si>
  <si>
    <t>01680590740</t>
  </si>
  <si>
    <t>00646640755</t>
  </si>
  <si>
    <t>1 DIP GIUR. ISTIT. AMM. LIBERTA'
2 ICT GROUP
3 PLOTEUS
4 COMUNI DI BARI
5 TARANTO
6 MANDURIA
7 LOCOROTONDO
8  MARTINA FRANCA
9 SAN MARZANO
10 GROTTAGLIE
11 POLO EUROMEDITERRANEO
12 NICOLAUS TOUR</t>
  </si>
  <si>
    <t>0805963732</t>
  </si>
  <si>
    <t>0805963719</t>
  </si>
  <si>
    <t>TURDIP</t>
  </si>
  <si>
    <t>0106</t>
  </si>
  <si>
    <t>0832298853</t>
  </si>
  <si>
    <t>TEMAR</t>
  </si>
  <si>
    <t>0198</t>
  </si>
  <si>
    <t>1 CONISMA
2 DIP ING INNOV. UNIV. LECCE
3 AREA NATURALE PROTETTA TORRE GUACETO
4 PROVINCIA BRINDISI
5 INFOTEL</t>
  </si>
  <si>
    <t>CENTRO CULTURA INNOVATIVA D'IMPRESA - UNIVERSITA DEGLI STUDI DI LECCE</t>
  </si>
  <si>
    <t>0832421205</t>
  </si>
  <si>
    <t>0832323796</t>
  </si>
  <si>
    <t>M.A.R.I.S.</t>
  </si>
  <si>
    <t>0195</t>
  </si>
  <si>
    <t>1 CENTRO CULTURA INNOVATIVA DI IMPRESA-UNIV. LECCE
2 COMUNE POLIGNANO
3 COMUNE MONOPOLI
4ASSOC. UNIVER. DELL'IDROGENO</t>
  </si>
  <si>
    <t>DIPARTIMENTO DI SCIENZE DEI MATERIALI - UNIVERSITA DEGLI STUDI DI LECCE</t>
  </si>
  <si>
    <t>0832297010</t>
  </si>
  <si>
    <t>0832297040</t>
  </si>
  <si>
    <t>NETART</t>
  </si>
  <si>
    <t>0276</t>
  </si>
  <si>
    <t>1 DIP SCIENZE DEI MATERIALI UNILE
2 DIP ING. CEDAD UNILE
3 DIP ING. LIIS UNILE
4 INOA
5 CLIOCOM</t>
  </si>
  <si>
    <t>0755853844</t>
  </si>
  <si>
    <t>0755853697</t>
  </si>
  <si>
    <t>-----</t>
  </si>
  <si>
    <t>0273</t>
  </si>
  <si>
    <t>PG</t>
  </si>
  <si>
    <t>1 CIRIAF
2 PIPENET SRL</t>
  </si>
  <si>
    <t>0805963799</t>
  </si>
  <si>
    <t>0805963484</t>
  </si>
  <si>
    <t>DEMON</t>
  </si>
  <si>
    <t>0272</t>
  </si>
  <si>
    <t>1 CRCA POLITECNICO DI BARI
2 MERLINO TECHNOLOGY SRL
3 SAPIO SRL</t>
  </si>
  <si>
    <t>rep. I SAL</t>
  </si>
  <si>
    <t>Data rep I SAL.</t>
  </si>
  <si>
    <t>Personale / Consulenze</t>
  </si>
  <si>
    <r>
      <t>Personale / Consulenze</t>
    </r>
    <r>
      <rPr>
        <sz val="10"/>
        <rFont val="Arial"/>
        <family val="0"/>
      </rPr>
      <t xml:space="preserve"> </t>
    </r>
  </si>
  <si>
    <t>ESCLUSO</t>
  </si>
  <si>
    <r>
      <t>Rilevanza (20)</t>
    </r>
    <r>
      <rPr>
        <sz val="8"/>
        <rFont val="Arial"/>
        <family val="2"/>
      </rPr>
      <t>:  Rilevanza e/o originalità dei risultati attesi anche alla luce del rilievo pubblico degli stessi, innovatività delle metodologie e soluzioni proposte</t>
    </r>
  </si>
  <si>
    <t>IBAN</t>
  </si>
  <si>
    <t>IT03J0103016002000060645522</t>
  </si>
  <si>
    <t>IT60I0200804000000010562011</t>
  </si>
  <si>
    <t>1 CNR
2 POLIBA
3 ALTAMURA
4 GAL L'UOMO DI ALTAMURA SCARL
5 WWF
6 ALTANET
7 AD ANFFAS</t>
  </si>
  <si>
    <t>NON CI SONO LE DELIBERE DI IMPEGNO MA SOLO DICHIARAZIONI DI INTERESSE ALLA COSTITUZ. ATS.
IN MANCANZA DELL'IMPEGNO AL COOFINANZIAMENTO IL PROGETTO NON PUO ESSERE AMMESSO
AL PUNTO 4 COMUNQUE NELLA TABELLA DEI COSTI E' INDICATO UN CONTRIBUTO PRIVATO E' INFERIORE AL 10%</t>
  </si>
  <si>
    <t>1 METEA
2 CIRCC
3 NEXTWARE SNC</t>
  </si>
  <si>
    <t>--</t>
  </si>
  <si>
    <t>01086760723</t>
  </si>
  <si>
    <t>UNIVERSITA' DEGLI STUDI DI BARI - DIP. DI STUDI CLASSICI E CRISTIANI</t>
  </si>
  <si>
    <t>STR. TORRETTA (CITTA' VECCHIA) 70122 BARI</t>
  </si>
  <si>
    <t>20721 - 20819</t>
  </si>
  <si>
    <t>1) MANCA IMPEGNO AL COFINANZIAMENTO DI CLIOCOM PER L'IMPORTO DI 75KE E QUINDI MANCA IL COFINANZIAMENTO PRIVATO DEL 10% ANCHE SE INDICATO DAL CAPOFILA NELLE TABELLE ECONOMICHE. QUINDI MANCA IMPEGNO DELLA PARTE PRIVATA AL COFINANZIAMENTO ALMENO DEL 10% DELPROGETTO.
2) SOLO DICHIARAZIONI NON CONFORMI AL DPR 445/00 DEL DIP SCIENZE DEI MATERIALI E DEL DIP INGEGNARIA LECCE CHE DICHIARANO UN GENERICO COFINANZIAMENTO SENZA INDICARE PERCENTUALE O IMPORTI NON ASSICURANDO LA COPERTURA FINANZIARIA.
3) DOCUMENTO DI IDENTITA' DEL LEGALE RAPPRESENTANTE DEL CAPOFILA NON VALIDO</t>
  </si>
  <si>
    <t>369 - 443</t>
  </si>
  <si>
    <t>529 - 697</t>
  </si>
  <si>
    <t>26934 - 27124</t>
  </si>
  <si>
    <t>al 31/06/08</t>
  </si>
  <si>
    <t xml:space="preserve">      </t>
  </si>
  <si>
    <t>8090 - 8182</t>
  </si>
  <si>
    <t>8725 - 8840</t>
  </si>
  <si>
    <t>II prog. Integ.</t>
  </si>
  <si>
    <t>ragioneria</t>
  </si>
  <si>
    <t>liquidato a collaudo</t>
  </si>
  <si>
    <t>Collaudo Importo</t>
  </si>
  <si>
    <t>Collaudo Quota 80%</t>
  </si>
  <si>
    <t>Collaudo Quota UE/stato</t>
  </si>
  <si>
    <t>Collaudo Quota Regione</t>
  </si>
  <si>
    <t>rep. Collaudo</t>
  </si>
  <si>
    <t>Data rep Collaudo.</t>
  </si>
  <si>
    <t>saldo collaudo</t>
  </si>
  <si>
    <t xml:space="preserve">                                                                                                               </t>
  </si>
  <si>
    <t>Risorse</t>
  </si>
  <si>
    <t>13269-13437</t>
  </si>
  <si>
    <t>14169-14261</t>
  </si>
  <si>
    <t>15837-15964</t>
  </si>
  <si>
    <t>16290-16415</t>
  </si>
  <si>
    <t>14170-14262</t>
  </si>
  <si>
    <t>21965 - 22060</t>
  </si>
  <si>
    <t>20544 - 20552</t>
  </si>
  <si>
    <t>19514 - 19588</t>
  </si>
  <si>
    <t>19517 - 19589</t>
  </si>
  <si>
    <t>19869 - 19954</t>
  </si>
  <si>
    <t>alla firma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</si>
</sst>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00"/>
    <numFmt numFmtId="174" formatCode="dd/mm/yy"/>
    <numFmt numFmtId="175" formatCode="[$-410]dddd\ d\ mmmm\ yyyy"/>
    <numFmt numFmtId="176" formatCode="dd/mm/yy;@"/>
    <numFmt numFmtId="177" formatCode="[$-410]d\ mmmm\ yyyy;@"/>
    <numFmt numFmtId="178" formatCode="[$-410]d\-mmm\-yy;@"/>
    <numFmt numFmtId="179" formatCode="&quot;€&quot;\ #,##0.00"/>
    <numFmt numFmtId="180" formatCode="[$€-2]\ #.##000_);[Red]\([$€-2]\ #.##000\)"/>
  </numFmts>
  <fonts count="74">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9"/>
      <name val="Arial"/>
      <family val="2"/>
    </font>
    <font>
      <b/>
      <u val="single"/>
      <sz val="9"/>
      <name val="Arial"/>
      <family val="2"/>
    </font>
    <font>
      <sz val="9"/>
      <name val="Arial"/>
      <family val="2"/>
    </font>
    <font>
      <b/>
      <sz val="8"/>
      <color indexed="10"/>
      <name val="Arial"/>
      <family val="2"/>
    </font>
    <font>
      <sz val="8"/>
      <color indexed="10"/>
      <name val="Arial"/>
      <family val="2"/>
    </font>
    <font>
      <sz val="8"/>
      <name val="Tahoma"/>
      <family val="2"/>
    </font>
    <font>
      <b/>
      <sz val="8"/>
      <name val="Tahoma"/>
      <family val="2"/>
    </font>
    <font>
      <sz val="8"/>
      <color indexed="21"/>
      <name val="Arial"/>
      <family val="2"/>
    </font>
    <font>
      <sz val="8"/>
      <color indexed="17"/>
      <name val="Arial"/>
      <family val="2"/>
    </font>
    <font>
      <b/>
      <sz val="8"/>
      <color indexed="9"/>
      <name val="Arial"/>
      <family val="2"/>
    </font>
    <font>
      <b/>
      <sz val="10"/>
      <color indexed="10"/>
      <name val="Arial"/>
      <family val="2"/>
    </font>
    <font>
      <sz val="8"/>
      <color indexed="10"/>
      <name val="Tahoma"/>
      <family val="2"/>
    </font>
    <font>
      <b/>
      <i/>
      <sz val="10"/>
      <name val="Arial"/>
      <family val="2"/>
    </font>
    <font>
      <sz val="10"/>
      <name val="Times New Roman"/>
      <family val="1"/>
    </font>
    <font>
      <b/>
      <sz val="10"/>
      <name val="Verdana"/>
      <family val="2"/>
    </font>
    <font>
      <b/>
      <sz val="8"/>
      <name val="Verdana"/>
      <family val="2"/>
    </font>
    <font>
      <sz val="10"/>
      <name val="Verdana"/>
      <family val="2"/>
    </font>
    <font>
      <b/>
      <sz val="11"/>
      <name val="Arial"/>
      <family val="2"/>
    </font>
    <font>
      <sz val="8"/>
      <color indexed="12"/>
      <name val="Tahoma"/>
      <family val="2"/>
    </font>
    <font>
      <b/>
      <sz val="8"/>
      <color indexed="12"/>
      <name val="Arial"/>
      <family val="2"/>
    </font>
    <font>
      <sz val="9"/>
      <name val="Tahoma"/>
      <family val="2"/>
    </font>
    <font>
      <b/>
      <sz val="9"/>
      <name val="Tahoma"/>
      <family val="2"/>
    </font>
    <font>
      <sz val="9"/>
      <color indexed="12"/>
      <name val="Tahoma"/>
      <family val="2"/>
    </font>
    <font>
      <sz val="10"/>
      <name val="Tahoma"/>
      <family val="2"/>
    </font>
    <font>
      <sz val="9"/>
      <color indexed="10"/>
      <name val="Tahoma"/>
      <family val="2"/>
    </font>
    <font>
      <sz val="10"/>
      <color indexed="10"/>
      <name val="Tahoma"/>
      <family val="2"/>
    </font>
    <font>
      <sz val="8"/>
      <color indexed="3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10"/>
      <color indexed="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FF0000"/>
      <name val="Arial"/>
      <family val="2"/>
    </font>
    <font>
      <sz val="10"/>
      <color rgb="FFFF0000"/>
      <name val="Arial"/>
      <family val="2"/>
    </font>
    <font>
      <b/>
      <sz val="10"/>
      <color rgb="FFFF0000"/>
      <name val="Arial"/>
      <family val="2"/>
    </font>
    <font>
      <b/>
      <sz val="10"/>
      <color theme="0"/>
      <name val="Arial"/>
      <family val="2"/>
    </font>
    <font>
      <b/>
      <sz val="8"/>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27"/>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17"/>
        <bgColor indexed="64"/>
      </patternFill>
    </fill>
    <fill>
      <patternFill patternType="solid">
        <fgColor indexed="45"/>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color indexed="63"/>
      </right>
      <top style="medium"/>
      <bottom style="mediu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color indexed="63"/>
      </top>
      <bottom>
        <color indexed="63"/>
      </botto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color indexed="63"/>
      </top>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9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center" vertical="top" wrapText="1"/>
    </xf>
    <xf numFmtId="0" fontId="2" fillId="0" borderId="0" xfId="0" applyFont="1" applyAlignment="1">
      <alignment/>
    </xf>
    <xf numFmtId="49" fontId="1" fillId="0" borderId="0" xfId="0" applyNumberFormat="1" applyFont="1" applyAlignment="1">
      <alignment horizontal="left" vertical="center" wrapText="1"/>
    </xf>
    <xf numFmtId="49" fontId="2" fillId="0" borderId="0" xfId="0" applyNumberFormat="1" applyFont="1" applyAlignment="1">
      <alignment horizontal="left"/>
    </xf>
    <xf numFmtId="0" fontId="1" fillId="0" borderId="0" xfId="0" applyFont="1" applyAlignment="1">
      <alignment vertical="center"/>
    </xf>
    <xf numFmtId="49" fontId="2" fillId="0" borderId="0" xfId="0" applyNumberFormat="1" applyFont="1" applyAlignment="1">
      <alignment vertical="center"/>
    </xf>
    <xf numFmtId="20" fontId="1" fillId="0" borderId="0" xfId="0" applyNumberFormat="1" applyFont="1" applyAlignment="1">
      <alignment horizontal="center" vertical="center" wrapText="1"/>
    </xf>
    <xf numFmtId="20" fontId="2" fillId="0" borderId="0" xfId="0" applyNumberFormat="1" applyFont="1" applyAlignment="1">
      <alignment vertical="center" wrapText="1"/>
    </xf>
    <xf numFmtId="20" fontId="2" fillId="0" borderId="0" xfId="0" applyNumberFormat="1" applyFont="1" applyAlignment="1">
      <alignment vertical="center"/>
    </xf>
    <xf numFmtId="20" fontId="2" fillId="0" borderId="0" xfId="0" applyNumberFormat="1" applyFont="1" applyAlignment="1">
      <alignment/>
    </xf>
    <xf numFmtId="49" fontId="2" fillId="0" borderId="0" xfId="0" applyNumberFormat="1" applyFont="1" applyAlignment="1">
      <alignment vertical="center" wrapText="1"/>
    </xf>
    <xf numFmtId="173" fontId="1" fillId="0" borderId="0" xfId="0" applyNumberFormat="1" applyFont="1" applyAlignment="1">
      <alignment horizontal="center" vertical="center" wrapText="1"/>
    </xf>
    <xf numFmtId="173" fontId="2" fillId="0" borderId="0" xfId="0" applyNumberFormat="1" applyFont="1" applyAlignment="1">
      <alignment vertical="center" wrapText="1"/>
    </xf>
    <xf numFmtId="173" fontId="2" fillId="0" borderId="0" xfId="0" applyNumberFormat="1" applyFont="1" applyAlignment="1">
      <alignment vertical="center"/>
    </xf>
    <xf numFmtId="173" fontId="2" fillId="0" borderId="0" xfId="0" applyNumberFormat="1" applyFont="1" applyAlignment="1">
      <alignment/>
    </xf>
    <xf numFmtId="49" fontId="1" fillId="0" borderId="0" xfId="0" applyNumberFormat="1" applyFont="1" applyAlignment="1">
      <alignment horizontal="center" vertical="center" wrapText="1"/>
    </xf>
    <xf numFmtId="174" fontId="1" fillId="0" borderId="0" xfId="0" applyNumberFormat="1" applyFont="1" applyAlignment="1">
      <alignment horizontal="center" vertical="center" wrapText="1"/>
    </xf>
    <xf numFmtId="174" fontId="2" fillId="0" borderId="0" xfId="0" applyNumberFormat="1" applyFont="1" applyFill="1" applyAlignment="1">
      <alignment vertical="center" wrapText="1"/>
    </xf>
    <xf numFmtId="174" fontId="2" fillId="0" borderId="0" xfId="0" applyNumberFormat="1" applyFont="1" applyFill="1" applyAlignment="1">
      <alignment vertical="center"/>
    </xf>
    <xf numFmtId="174" fontId="2" fillId="0" borderId="0" xfId="0" applyNumberFormat="1" applyFont="1" applyFill="1" applyAlignment="1">
      <alignment/>
    </xf>
    <xf numFmtId="174" fontId="2" fillId="0" borderId="0" xfId="0" applyNumberFormat="1" applyFont="1" applyAlignment="1">
      <alignment/>
    </xf>
    <xf numFmtId="176" fontId="1" fillId="0" borderId="0" xfId="0" applyNumberFormat="1" applyFont="1" applyAlignment="1">
      <alignment horizontal="center" vertical="center" wrapText="1"/>
    </xf>
    <xf numFmtId="176" fontId="2" fillId="0" borderId="0" xfId="0" applyNumberFormat="1" applyFont="1" applyAlignment="1">
      <alignment vertical="center" wrapText="1"/>
    </xf>
    <xf numFmtId="176" fontId="2" fillId="0" borderId="0" xfId="0" applyNumberFormat="1" applyFont="1" applyAlignment="1">
      <alignment vertical="center"/>
    </xf>
    <xf numFmtId="176" fontId="2" fillId="0" borderId="0" xfId="0" applyNumberFormat="1" applyFont="1" applyAlignment="1">
      <alignment/>
    </xf>
    <xf numFmtId="0" fontId="2" fillId="33" borderId="0" xfId="0" applyFont="1" applyFill="1" applyAlignment="1">
      <alignment vertical="center"/>
    </xf>
    <xf numFmtId="0" fontId="1" fillId="0" borderId="0" xfId="0" applyFont="1" applyAlignment="1">
      <alignment vertical="center" wrapText="1"/>
    </xf>
    <xf numFmtId="0" fontId="2" fillId="0" borderId="0" xfId="0" applyFont="1" applyBorder="1"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49" fontId="2" fillId="0" borderId="0" xfId="0" applyNumberFormat="1" applyFont="1" applyAlignment="1">
      <alignment horizontal="right" vertical="center" wrapText="1"/>
    </xf>
    <xf numFmtId="49" fontId="2" fillId="0" borderId="0" xfId="0" applyNumberFormat="1" applyFont="1" applyAlignment="1">
      <alignment horizontal="righ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173" fontId="1" fillId="0" borderId="0" xfId="0" applyNumberFormat="1" applyFont="1" applyAlignment="1">
      <alignment/>
    </xf>
    <xf numFmtId="4" fontId="2" fillId="0" borderId="0" xfId="0" applyNumberFormat="1" applyFont="1" applyFill="1" applyAlignment="1">
      <alignment/>
    </xf>
    <xf numFmtId="4" fontId="2" fillId="0" borderId="0" xfId="0" applyNumberFormat="1" applyFont="1" applyAlignment="1">
      <alignment/>
    </xf>
    <xf numFmtId="0" fontId="5" fillId="0" borderId="0" xfId="0" applyFont="1" applyAlignment="1">
      <alignment horizontal="center"/>
    </xf>
    <xf numFmtId="49" fontId="1" fillId="0" borderId="0" xfId="0" applyNumberFormat="1" applyFont="1" applyAlignment="1">
      <alignment horizontal="center"/>
    </xf>
    <xf numFmtId="174" fontId="1" fillId="0" borderId="0" xfId="0" applyNumberFormat="1" applyFont="1" applyFill="1" applyAlignment="1">
      <alignment horizontal="center"/>
    </xf>
    <xf numFmtId="4" fontId="1" fillId="0" borderId="0" xfId="0" applyNumberFormat="1" applyFont="1" applyAlignment="1">
      <alignment horizontal="center"/>
    </xf>
    <xf numFmtId="20" fontId="1" fillId="0" borderId="0" xfId="0" applyNumberFormat="1" applyFont="1" applyAlignment="1">
      <alignment horizontal="center"/>
    </xf>
    <xf numFmtId="4" fontId="1" fillId="0" borderId="0" xfId="0" applyNumberFormat="1" applyFont="1" applyAlignment="1">
      <alignment horizontal="right"/>
    </xf>
    <xf numFmtId="173" fontId="1" fillId="0" borderId="0" xfId="0" applyNumberFormat="1" applyFont="1" applyAlignment="1">
      <alignment horizontal="right"/>
    </xf>
    <xf numFmtId="0" fontId="2" fillId="0" borderId="0" xfId="0" applyFont="1" applyAlignment="1">
      <alignment wrapText="1"/>
    </xf>
    <xf numFmtId="4" fontId="1" fillId="0" borderId="0" xfId="0" applyNumberFormat="1" applyFont="1" applyAlignment="1">
      <alignment horizontal="center" vertical="center" wrapText="1"/>
    </xf>
    <xf numFmtId="49" fontId="1" fillId="0" borderId="0" xfId="0" applyNumberFormat="1" applyFont="1" applyAlignment="1">
      <alignment vertical="center"/>
    </xf>
    <xf numFmtId="173" fontId="1" fillId="0" borderId="0" xfId="0" applyNumberFormat="1" applyFont="1" applyAlignment="1">
      <alignment vertical="center"/>
    </xf>
    <xf numFmtId="174" fontId="1" fillId="0" borderId="0" xfId="0" applyNumberFormat="1" applyFont="1" applyFill="1" applyAlignment="1">
      <alignment vertical="center"/>
    </xf>
    <xf numFmtId="176" fontId="1" fillId="0" borderId="0" xfId="0" applyNumberFormat="1" applyFont="1" applyAlignment="1">
      <alignment vertical="center"/>
    </xf>
    <xf numFmtId="20" fontId="1" fillId="0" borderId="0" xfId="0" applyNumberFormat="1" applyFont="1" applyAlignment="1">
      <alignment vertical="center"/>
    </xf>
    <xf numFmtId="4" fontId="1" fillId="0" borderId="0" xfId="0" applyNumberFormat="1" applyFont="1" applyAlignment="1">
      <alignment vertical="center"/>
    </xf>
    <xf numFmtId="49" fontId="8" fillId="0" borderId="0" xfId="0" applyNumberFormat="1" applyFont="1" applyAlignment="1">
      <alignment horizontal="left" wrapText="1"/>
    </xf>
    <xf numFmtId="4" fontId="1" fillId="0" borderId="0" xfId="0" applyNumberFormat="1" applyFont="1" applyAlignment="1">
      <alignment/>
    </xf>
    <xf numFmtId="14" fontId="1" fillId="0" borderId="0" xfId="0" applyNumberFormat="1" applyFont="1" applyAlignment="1">
      <alignment vertical="center"/>
    </xf>
    <xf numFmtId="49" fontId="2" fillId="0" borderId="0" xfId="0" applyNumberFormat="1" applyFont="1" applyAlignment="1">
      <alignment/>
    </xf>
    <xf numFmtId="49" fontId="1" fillId="0" borderId="0" xfId="0" applyNumberFormat="1" applyFont="1" applyFill="1" applyAlignment="1">
      <alignment horizontal="center" vertical="center" wrapText="1"/>
    </xf>
    <xf numFmtId="4" fontId="9" fillId="0" borderId="0" xfId="0" applyNumberFormat="1" applyFont="1" applyAlignment="1">
      <alignment horizontal="center" vertical="center" wrapText="1"/>
    </xf>
    <xf numFmtId="4" fontId="9" fillId="0" borderId="0" xfId="0" applyNumberFormat="1" applyFont="1" applyAlignment="1">
      <alignment vertical="center"/>
    </xf>
    <xf numFmtId="4" fontId="9" fillId="0" borderId="0" xfId="0" applyNumberFormat="1" applyFont="1" applyAlignment="1">
      <alignment/>
    </xf>
    <xf numFmtId="4" fontId="10" fillId="0" borderId="0" xfId="0" applyNumberFormat="1" applyFont="1" applyAlignment="1">
      <alignment/>
    </xf>
    <xf numFmtId="4" fontId="9" fillId="0" borderId="0" xfId="0" applyNumberFormat="1" applyFont="1" applyAlignment="1">
      <alignment horizontal="right"/>
    </xf>
    <xf numFmtId="4" fontId="10" fillId="0" borderId="0" xfId="0" applyNumberFormat="1" applyFont="1" applyAlignment="1">
      <alignment vertical="center"/>
    </xf>
    <xf numFmtId="49" fontId="1" fillId="0" borderId="0" xfId="0" applyNumberFormat="1" applyFont="1" applyAlignment="1" quotePrefix="1">
      <alignment vertical="center"/>
    </xf>
    <xf numFmtId="0" fontId="6" fillId="0" borderId="0" xfId="0" applyFont="1" applyAlignment="1">
      <alignment vertical="center"/>
    </xf>
    <xf numFmtId="49" fontId="1" fillId="0" borderId="0" xfId="0" applyNumberFormat="1" applyFont="1" applyFill="1" applyAlignment="1" quotePrefix="1">
      <alignment vertical="center"/>
    </xf>
    <xf numFmtId="49" fontId="1" fillId="0" borderId="0" xfId="0" applyNumberFormat="1" applyFont="1" applyFill="1" applyAlignment="1">
      <alignment vertical="center"/>
    </xf>
    <xf numFmtId="0" fontId="1" fillId="0" borderId="0" xfId="0" applyFont="1" applyBorder="1" applyAlignment="1">
      <alignment vertical="center"/>
    </xf>
    <xf numFmtId="173" fontId="10" fillId="0" borderId="0" xfId="0" applyNumberFormat="1" applyFont="1" applyAlignment="1">
      <alignment vertical="center"/>
    </xf>
    <xf numFmtId="20" fontId="2" fillId="0" borderId="0" xfId="0" applyNumberFormat="1" applyFont="1" applyAlignment="1" quotePrefix="1">
      <alignment vertical="center"/>
    </xf>
    <xf numFmtId="0" fontId="2" fillId="0" borderId="10" xfId="0" applyFont="1" applyBorder="1" applyAlignment="1">
      <alignment vertical="center"/>
    </xf>
    <xf numFmtId="49" fontId="2" fillId="0" borderId="0" xfId="0" applyNumberFormat="1" applyFont="1" applyAlignment="1" quotePrefix="1">
      <alignment vertical="center"/>
    </xf>
    <xf numFmtId="0" fontId="1" fillId="0" borderId="0" xfId="0" applyFont="1" applyAlignment="1" quotePrefix="1">
      <alignment vertical="center"/>
    </xf>
    <xf numFmtId="0" fontId="1" fillId="33" borderId="0" xfId="0" applyFont="1" applyFill="1" applyAlignment="1">
      <alignment vertical="center"/>
    </xf>
    <xf numFmtId="49" fontId="2" fillId="33" borderId="0" xfId="0" applyNumberFormat="1" applyFont="1" applyFill="1" applyAlignment="1">
      <alignment vertical="center"/>
    </xf>
    <xf numFmtId="173" fontId="2" fillId="33" borderId="0" xfId="0" applyNumberFormat="1" applyFont="1" applyFill="1" applyAlignment="1">
      <alignment vertical="center"/>
    </xf>
    <xf numFmtId="4" fontId="10" fillId="33" borderId="0" xfId="0" applyNumberFormat="1" applyFont="1" applyFill="1" applyAlignment="1">
      <alignment vertical="center"/>
    </xf>
    <xf numFmtId="174" fontId="2" fillId="33" borderId="0" xfId="0" applyNumberFormat="1" applyFont="1" applyFill="1" applyAlignment="1">
      <alignment vertical="center"/>
    </xf>
    <xf numFmtId="176" fontId="2" fillId="33" borderId="0" xfId="0" applyNumberFormat="1" applyFont="1" applyFill="1" applyAlignment="1">
      <alignment vertical="center"/>
    </xf>
    <xf numFmtId="20" fontId="2" fillId="33" borderId="0" xfId="0" applyNumberFormat="1" applyFont="1" applyFill="1" applyAlignment="1">
      <alignment vertical="center"/>
    </xf>
    <xf numFmtId="0" fontId="1" fillId="34" borderId="0" xfId="0" applyFont="1" applyFill="1" applyAlignment="1">
      <alignment vertical="center"/>
    </xf>
    <xf numFmtId="49" fontId="1" fillId="34" borderId="0" xfId="0" applyNumberFormat="1" applyFont="1" applyFill="1" applyAlignment="1" quotePrefix="1">
      <alignment vertical="center"/>
    </xf>
    <xf numFmtId="49" fontId="1" fillId="34" borderId="0" xfId="0" applyNumberFormat="1" applyFont="1" applyFill="1" applyAlignment="1">
      <alignment vertical="center"/>
    </xf>
    <xf numFmtId="49" fontId="6" fillId="34" borderId="0" xfId="0" applyNumberFormat="1" applyFont="1" applyFill="1" applyAlignment="1">
      <alignment vertical="center"/>
    </xf>
    <xf numFmtId="173" fontId="1" fillId="34" borderId="0" xfId="0" applyNumberFormat="1" applyFont="1" applyFill="1" applyAlignment="1">
      <alignment vertical="center"/>
    </xf>
    <xf numFmtId="4" fontId="9" fillId="34" borderId="0" xfId="0" applyNumberFormat="1" applyFont="1" applyFill="1" applyAlignment="1">
      <alignment vertical="center"/>
    </xf>
    <xf numFmtId="174" fontId="1" fillId="34" borderId="0" xfId="0" applyNumberFormat="1" applyFont="1" applyFill="1" applyAlignment="1">
      <alignment vertical="center"/>
    </xf>
    <xf numFmtId="0" fontId="2" fillId="34" borderId="0" xfId="0" applyFont="1" applyFill="1" applyAlignment="1">
      <alignment vertical="center"/>
    </xf>
    <xf numFmtId="176" fontId="1" fillId="34" borderId="0" xfId="0" applyNumberFormat="1" applyFont="1" applyFill="1" applyAlignment="1">
      <alignment vertical="center"/>
    </xf>
    <xf numFmtId="20" fontId="1" fillId="34" borderId="0" xfId="0" applyNumberFormat="1" applyFont="1" applyFill="1" applyAlignment="1">
      <alignment vertical="center"/>
    </xf>
    <xf numFmtId="14" fontId="9" fillId="34" borderId="0" xfId="0" applyNumberFormat="1" applyFont="1" applyFill="1" applyAlignment="1">
      <alignment vertical="center"/>
    </xf>
    <xf numFmtId="0" fontId="9" fillId="34" borderId="0" xfId="0" applyFont="1" applyFill="1" applyAlignment="1">
      <alignment vertical="center"/>
    </xf>
    <xf numFmtId="49" fontId="6" fillId="0" borderId="0" xfId="0" applyNumberFormat="1" applyFont="1" applyAlignment="1">
      <alignment horizontal="center" vertical="center" wrapText="1"/>
    </xf>
    <xf numFmtId="0" fontId="1" fillId="34" borderId="0" xfId="0" applyFont="1" applyFill="1" applyAlignment="1">
      <alignment horizontal="center" vertical="center"/>
    </xf>
    <xf numFmtId="0" fontId="2" fillId="33" borderId="0" xfId="0" applyFont="1" applyFill="1" applyAlignment="1">
      <alignment horizontal="center" vertical="center"/>
    </xf>
    <xf numFmtId="0" fontId="3" fillId="0" borderId="0" xfId="36" applyAlignment="1" applyProtection="1">
      <alignment vertical="center"/>
      <protection/>
    </xf>
    <xf numFmtId="14" fontId="1" fillId="0" borderId="0" xfId="0" applyNumberFormat="1" applyFont="1" applyAlignment="1">
      <alignment horizontal="left" vertical="center"/>
    </xf>
    <xf numFmtId="178" fontId="1"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3" fillId="0" borderId="0" xfId="0" applyNumberFormat="1" applyFont="1" applyFill="1" applyBorder="1" applyAlignment="1">
      <alignment horizontal="center" vertical="center" textRotation="90"/>
    </xf>
    <xf numFmtId="14" fontId="13" fillId="0" borderId="0" xfId="0" applyNumberFormat="1" applyFont="1" applyFill="1" applyBorder="1" applyAlignment="1">
      <alignment horizontal="center" vertical="center" textRotation="90" wrapText="1"/>
    </xf>
    <xf numFmtId="14" fontId="1" fillId="0" borderId="0" xfId="0" applyNumberFormat="1" applyFont="1" applyAlignment="1">
      <alignment horizontal="center" vertical="center"/>
    </xf>
    <xf numFmtId="0" fontId="1" fillId="0" borderId="0" xfId="0" applyFont="1" applyFill="1" applyAlignment="1">
      <alignment vertical="center"/>
    </xf>
    <xf numFmtId="0" fontId="6" fillId="0" borderId="0" xfId="0" applyFont="1" applyFill="1" applyAlignment="1">
      <alignment vertical="center"/>
    </xf>
    <xf numFmtId="173" fontId="1" fillId="0" borderId="0" xfId="0" applyNumberFormat="1" applyFont="1" applyFill="1" applyAlignment="1">
      <alignment vertical="center"/>
    </xf>
    <xf numFmtId="4" fontId="9" fillId="0" borderId="0" xfId="0" applyNumberFormat="1" applyFont="1" applyFill="1" applyAlignment="1">
      <alignment vertical="center"/>
    </xf>
    <xf numFmtId="0" fontId="2" fillId="0" borderId="0" xfId="0" applyFont="1" applyFill="1" applyAlignment="1">
      <alignment vertical="center"/>
    </xf>
    <xf numFmtId="176" fontId="1" fillId="0" borderId="0" xfId="0" applyNumberFormat="1" applyFont="1" applyFill="1" applyAlignment="1">
      <alignment vertical="center"/>
    </xf>
    <xf numFmtId="20" fontId="1" fillId="0" borderId="0" xfId="0" applyNumberFormat="1" applyFont="1" applyFill="1" applyAlignment="1">
      <alignment vertical="center"/>
    </xf>
    <xf numFmtId="14" fontId="1" fillId="0" borderId="0" xfId="0" applyNumberFormat="1" applyFont="1" applyFill="1" applyAlignment="1">
      <alignment vertical="center"/>
    </xf>
    <xf numFmtId="14"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4" fontId="1" fillId="0" borderId="0" xfId="0" applyNumberFormat="1" applyFont="1" applyFill="1" applyAlignment="1">
      <alignment vertical="center"/>
    </xf>
    <xf numFmtId="0" fontId="1" fillId="0" borderId="0" xfId="0" applyFont="1" applyFill="1" applyAlignment="1">
      <alignment horizontal="center" vertical="center"/>
    </xf>
    <xf numFmtId="49" fontId="7" fillId="0" borderId="0" xfId="36" applyNumberFormat="1" applyFont="1" applyFill="1" applyAlignment="1" applyProtection="1">
      <alignment vertical="center"/>
      <protection/>
    </xf>
    <xf numFmtId="0" fontId="1" fillId="0" borderId="0" xfId="0" applyFont="1" applyFill="1" applyAlignment="1">
      <alignment vertical="center" wrapText="1"/>
    </xf>
    <xf numFmtId="14" fontId="1" fillId="0" borderId="0" xfId="0" applyNumberFormat="1" applyFont="1" applyFill="1" applyAlignment="1">
      <alignment horizontal="center" vertical="center"/>
    </xf>
    <xf numFmtId="0" fontId="7" fillId="0" borderId="0" xfId="36" applyFont="1" applyFill="1" applyAlignment="1" applyProtection="1">
      <alignment vertical="center"/>
      <protection/>
    </xf>
    <xf numFmtId="49" fontId="1" fillId="0" borderId="0" xfId="0" applyNumberFormat="1" applyFont="1" applyFill="1" applyAlignment="1">
      <alignment vertical="center" wrapText="1"/>
    </xf>
    <xf numFmtId="0" fontId="15" fillId="35" borderId="0" xfId="0" applyFont="1" applyFill="1" applyAlignment="1">
      <alignment vertical="center"/>
    </xf>
    <xf numFmtId="0" fontId="1" fillId="35" borderId="0" xfId="0" applyFont="1" applyFill="1" applyAlignment="1">
      <alignment vertical="center"/>
    </xf>
    <xf numFmtId="4" fontId="15" fillId="35" borderId="0" xfId="0" applyNumberFormat="1" applyFont="1" applyFill="1" applyAlignment="1">
      <alignment vertical="center"/>
    </xf>
    <xf numFmtId="1" fontId="1" fillId="0" borderId="0" xfId="0" applyNumberFormat="1" applyFont="1" applyAlignment="1" quotePrefix="1">
      <alignment vertical="center"/>
    </xf>
    <xf numFmtId="49" fontId="1" fillId="0" borderId="0" xfId="0" applyNumberFormat="1" applyFont="1" applyAlignment="1">
      <alignment horizontal="center" vertical="center"/>
    </xf>
    <xf numFmtId="49" fontId="1" fillId="0" borderId="0" xfId="0" applyNumberFormat="1" applyFont="1" applyFill="1" applyAlignment="1">
      <alignment horizontal="center" vertical="center"/>
    </xf>
    <xf numFmtId="0" fontId="0" fillId="0" borderId="11" xfId="0" applyBorder="1" applyAlignment="1">
      <alignment/>
    </xf>
    <xf numFmtId="179" fontId="0" fillId="0" borderId="12" xfId="0" applyNumberFormat="1" applyBorder="1" applyAlignment="1">
      <alignment/>
    </xf>
    <xf numFmtId="0" fontId="0" fillId="0" borderId="11" xfId="0" applyBorder="1" applyAlignment="1">
      <alignment horizontal="right"/>
    </xf>
    <xf numFmtId="0" fontId="0" fillId="0" borderId="12" xfId="0" applyBorder="1" applyAlignment="1">
      <alignment/>
    </xf>
    <xf numFmtId="0" fontId="0" fillId="0" borderId="13" xfId="0" applyBorder="1" applyAlignment="1">
      <alignment horizontal="right"/>
    </xf>
    <xf numFmtId="0" fontId="0" fillId="0" borderId="14" xfId="0" applyBorder="1" applyAlignment="1">
      <alignment/>
    </xf>
    <xf numFmtId="0" fontId="5" fillId="0" borderId="11" xfId="0" applyFont="1" applyBorder="1" applyAlignment="1">
      <alignment/>
    </xf>
    <xf numFmtId="179" fontId="16" fillId="36" borderId="12" xfId="0" applyNumberFormat="1" applyFont="1" applyFill="1" applyBorder="1" applyAlignment="1">
      <alignment/>
    </xf>
    <xf numFmtId="179" fontId="16" fillId="37" borderId="12" xfId="0" applyNumberFormat="1" applyFont="1" applyFill="1" applyBorder="1" applyAlignment="1">
      <alignment/>
    </xf>
    <xf numFmtId="179" fontId="5" fillId="37" borderId="15" xfId="0" applyNumberFormat="1" applyFont="1" applyFill="1" applyBorder="1" applyAlignment="1">
      <alignment/>
    </xf>
    <xf numFmtId="0" fontId="0" fillId="0" borderId="11" xfId="0" applyFill="1" applyBorder="1" applyAlignment="1">
      <alignment horizontal="right"/>
    </xf>
    <xf numFmtId="0" fontId="0" fillId="0" borderId="13" xfId="0" applyBorder="1" applyAlignment="1">
      <alignment/>
    </xf>
    <xf numFmtId="179" fontId="0" fillId="0" borderId="14" xfId="0" applyNumberFormat="1" applyBorder="1" applyAlignment="1">
      <alignment/>
    </xf>
    <xf numFmtId="0" fontId="5" fillId="0" borderId="16" xfId="0" applyFont="1" applyFill="1" applyBorder="1" applyAlignment="1">
      <alignment horizontal="left"/>
    </xf>
    <xf numFmtId="179" fontId="16" fillId="0" borderId="17" xfId="0" applyNumberFormat="1" applyFont="1" applyBorder="1" applyAlignment="1">
      <alignment/>
    </xf>
    <xf numFmtId="0" fontId="0" fillId="0" borderId="16" xfId="0" applyBorder="1" applyAlignment="1">
      <alignment/>
    </xf>
    <xf numFmtId="0" fontId="0" fillId="38" borderId="17" xfId="0" applyFont="1" applyFill="1" applyBorder="1" applyAlignment="1">
      <alignment horizontal="center"/>
    </xf>
    <xf numFmtId="0" fontId="0" fillId="33" borderId="18" xfId="0" applyFill="1" applyBorder="1" applyAlignment="1">
      <alignment horizontal="center"/>
    </xf>
    <xf numFmtId="0" fontId="0" fillId="33" borderId="17" xfId="0" applyFill="1" applyBorder="1" applyAlignment="1">
      <alignment horizontal="center"/>
    </xf>
    <xf numFmtId="0" fontId="5" fillId="39" borderId="19" xfId="0" applyFont="1" applyFill="1" applyBorder="1" applyAlignment="1">
      <alignment/>
    </xf>
    <xf numFmtId="179" fontId="0" fillId="0" borderId="20" xfId="0" applyNumberFormat="1" applyBorder="1" applyAlignment="1">
      <alignment/>
    </xf>
    <xf numFmtId="0" fontId="0" fillId="38" borderId="18" xfId="0" applyFont="1" applyFill="1" applyBorder="1" applyAlignment="1">
      <alignment horizontal="center"/>
    </xf>
    <xf numFmtId="179" fontId="0" fillId="0" borderId="0" xfId="0" applyNumberFormat="1" applyBorder="1" applyAlignment="1">
      <alignment/>
    </xf>
    <xf numFmtId="0" fontId="5" fillId="0" borderId="21" xfId="0" applyFont="1" applyBorder="1" applyAlignment="1">
      <alignment horizontal="center"/>
    </xf>
    <xf numFmtId="0" fontId="5" fillId="0" borderId="22" xfId="0" applyFont="1" applyBorder="1" applyAlignment="1">
      <alignment horizontal="center"/>
    </xf>
    <xf numFmtId="179" fontId="5" fillId="39" borderId="17" xfId="0" applyNumberFormat="1" applyFont="1" applyFill="1" applyBorder="1" applyAlignment="1">
      <alignment/>
    </xf>
    <xf numFmtId="179" fontId="5" fillId="0" borderId="20" xfId="0" applyNumberFormat="1" applyFont="1" applyBorder="1" applyAlignment="1">
      <alignment/>
    </xf>
    <xf numFmtId="179" fontId="5" fillId="0" borderId="0" xfId="0" applyNumberFormat="1" applyFont="1" applyBorder="1" applyAlignment="1">
      <alignment/>
    </xf>
    <xf numFmtId="0" fontId="0" fillId="0" borderId="10" xfId="0" applyBorder="1" applyAlignment="1">
      <alignment/>
    </xf>
    <xf numFmtId="0" fontId="15" fillId="39" borderId="0" xfId="0" applyFont="1" applyFill="1" applyAlignment="1">
      <alignment vertical="center"/>
    </xf>
    <xf numFmtId="0" fontId="1" fillId="39" borderId="0" xfId="0" applyFont="1" applyFill="1" applyAlignment="1">
      <alignment vertical="center"/>
    </xf>
    <xf numFmtId="4" fontId="15" fillId="39" borderId="0" xfId="0" applyNumberFormat="1" applyFont="1" applyFill="1" applyAlignment="1">
      <alignment vertical="center"/>
    </xf>
    <xf numFmtId="4" fontId="0" fillId="0" borderId="0" xfId="0" applyNumberFormat="1" applyAlignment="1">
      <alignment/>
    </xf>
    <xf numFmtId="14" fontId="9" fillId="0" borderId="0" xfId="0" applyNumberFormat="1" applyFont="1" applyAlignment="1">
      <alignment horizontal="center" vertical="center"/>
    </xf>
    <xf numFmtId="0" fontId="0" fillId="33" borderId="23" xfId="0" applyFill="1" applyBorder="1" applyAlignment="1">
      <alignment horizontal="center"/>
    </xf>
    <xf numFmtId="0" fontId="5" fillId="38" borderId="17" xfId="0" applyFont="1" applyFill="1" applyBorder="1" applyAlignment="1">
      <alignment/>
    </xf>
    <xf numFmtId="0" fontId="5" fillId="38" borderId="17" xfId="0" applyFont="1" applyFill="1" applyBorder="1" applyAlignment="1">
      <alignment horizontal="center"/>
    </xf>
    <xf numFmtId="0" fontId="3" fillId="0" borderId="0" xfId="36" applyFill="1" applyAlignment="1" applyProtection="1">
      <alignment vertical="center"/>
      <protection/>
    </xf>
    <xf numFmtId="49" fontId="3" fillId="0" borderId="0" xfId="36" applyNumberFormat="1" applyFill="1" applyAlignment="1" applyProtection="1">
      <alignment vertical="center"/>
      <protection/>
    </xf>
    <xf numFmtId="0" fontId="15" fillId="40" borderId="0" xfId="0" applyFont="1" applyFill="1" applyAlignment="1">
      <alignment vertical="center"/>
    </xf>
    <xf numFmtId="0" fontId="1" fillId="40" borderId="0" xfId="0" applyFont="1" applyFill="1" applyAlignment="1">
      <alignment vertical="center"/>
    </xf>
    <xf numFmtId="4" fontId="15" fillId="40" borderId="0" xfId="0" applyNumberFormat="1" applyFont="1" applyFill="1" applyAlignment="1">
      <alignment vertical="center"/>
    </xf>
    <xf numFmtId="0" fontId="0" fillId="0" borderId="24" xfId="0" applyBorder="1" applyAlignment="1">
      <alignment/>
    </xf>
    <xf numFmtId="0" fontId="0" fillId="0" borderId="25" xfId="0" applyBorder="1" applyAlignment="1">
      <alignment/>
    </xf>
    <xf numFmtId="179" fontId="0" fillId="0" borderId="0" xfId="0" applyNumberFormat="1" applyAlignment="1">
      <alignment/>
    </xf>
    <xf numFmtId="0" fontId="18" fillId="39" borderId="10" xfId="0" applyFont="1" applyFill="1" applyBorder="1" applyAlignment="1">
      <alignment horizontal="right"/>
    </xf>
    <xf numFmtId="179" fontId="5" fillId="39" borderId="10" xfId="0" applyNumberFormat="1" applyFont="1" applyFill="1" applyBorder="1" applyAlignment="1">
      <alignment/>
    </xf>
    <xf numFmtId="0" fontId="5" fillId="39" borderId="10" xfId="0" applyFont="1" applyFill="1" applyBorder="1" applyAlignment="1">
      <alignment/>
    </xf>
    <xf numFmtId="0" fontId="5" fillId="0" borderId="26" xfId="0" applyFont="1" applyBorder="1" applyAlignment="1">
      <alignment horizontal="center"/>
    </xf>
    <xf numFmtId="4" fontId="2" fillId="0" borderId="0" xfId="0" applyNumberFormat="1" applyFont="1" applyAlignment="1">
      <alignment vertical="center"/>
    </xf>
    <xf numFmtId="14" fontId="1" fillId="34" borderId="0" xfId="0" applyNumberFormat="1" applyFont="1" applyFill="1" applyAlignment="1">
      <alignment vertical="center"/>
    </xf>
    <xf numFmtId="0" fontId="0" fillId="38" borderId="17" xfId="0" applyFill="1" applyBorder="1" applyAlignment="1">
      <alignment horizontal="center"/>
    </xf>
    <xf numFmtId="179" fontId="0" fillId="0" borderId="12" xfId="0" applyNumberFormat="1" applyFill="1" applyBorder="1" applyAlignment="1">
      <alignment/>
    </xf>
    <xf numFmtId="0" fontId="5" fillId="0" borderId="21" xfId="0" applyFont="1" applyFill="1" applyBorder="1" applyAlignment="1">
      <alignment horizontal="center"/>
    </xf>
    <xf numFmtId="179" fontId="5" fillId="0" borderId="20" xfId="0" applyNumberFormat="1" applyFont="1" applyFill="1" applyBorder="1" applyAlignment="1">
      <alignment/>
    </xf>
    <xf numFmtId="179" fontId="0" fillId="0" borderId="20" xfId="0" applyNumberFormat="1" applyFill="1" applyBorder="1" applyAlignment="1">
      <alignment/>
    </xf>
    <xf numFmtId="179" fontId="0" fillId="41" borderId="12" xfId="0" applyNumberFormat="1" applyFill="1" applyBorder="1" applyAlignment="1">
      <alignment/>
    </xf>
    <xf numFmtId="0" fontId="15" fillId="41" borderId="0" xfId="0" applyFont="1" applyFill="1" applyAlignment="1">
      <alignment vertical="center"/>
    </xf>
    <xf numFmtId="0" fontId="1" fillId="41" borderId="0" xfId="0" applyFont="1" applyFill="1" applyAlignment="1">
      <alignment vertical="center"/>
    </xf>
    <xf numFmtId="4" fontId="15" fillId="41" borderId="0" xfId="0" applyNumberFormat="1" applyFont="1" applyFill="1" applyAlignment="1">
      <alignment vertical="center"/>
    </xf>
    <xf numFmtId="4" fontId="14" fillId="0" borderId="27" xfId="0" applyNumberFormat="1" applyFont="1" applyFill="1" applyBorder="1" applyAlignment="1">
      <alignment horizontal="center" vertical="center" textRotation="90"/>
    </xf>
    <xf numFmtId="4" fontId="9" fillId="0" borderId="27" xfId="0" applyNumberFormat="1" applyFont="1" applyBorder="1" applyAlignment="1">
      <alignment vertical="center"/>
    </xf>
    <xf numFmtId="4" fontId="9" fillId="0" borderId="27" xfId="0" applyNumberFormat="1" applyFont="1" applyFill="1" applyBorder="1" applyAlignment="1">
      <alignment vertical="center"/>
    </xf>
    <xf numFmtId="4" fontId="1" fillId="0" borderId="27" xfId="0" applyNumberFormat="1" applyFont="1" applyBorder="1" applyAlignment="1">
      <alignment vertical="center"/>
    </xf>
    <xf numFmtId="4" fontId="1" fillId="0" borderId="27" xfId="0" applyNumberFormat="1" applyFont="1" applyFill="1" applyBorder="1" applyAlignment="1">
      <alignment vertical="center"/>
    </xf>
    <xf numFmtId="0" fontId="1" fillId="0" borderId="27" xfId="0" applyFont="1" applyBorder="1" applyAlignment="1">
      <alignment vertical="center"/>
    </xf>
    <xf numFmtId="0" fontId="1" fillId="0" borderId="27" xfId="0" applyFont="1" applyFill="1" applyBorder="1" applyAlignment="1">
      <alignment vertical="center"/>
    </xf>
    <xf numFmtId="179" fontId="0" fillId="0" borderId="0" xfId="0" applyNumberFormat="1" applyFill="1" applyBorder="1" applyAlignment="1">
      <alignment/>
    </xf>
    <xf numFmtId="0" fontId="0" fillId="0" borderId="0" xfId="0" applyBorder="1" applyAlignment="1">
      <alignment horizontal="right"/>
    </xf>
    <xf numFmtId="8" fontId="0" fillId="0" borderId="0" xfId="0" applyNumberFormat="1" applyAlignment="1">
      <alignment/>
    </xf>
    <xf numFmtId="8" fontId="5" fillId="0" borderId="0" xfId="0" applyNumberFormat="1" applyFont="1" applyBorder="1" applyAlignment="1">
      <alignment horizontal="right" wrapText="1"/>
    </xf>
    <xf numFmtId="0" fontId="5" fillId="0" borderId="0" xfId="0" applyFont="1" applyBorder="1" applyAlignment="1">
      <alignment horizontal="right" wrapText="1"/>
    </xf>
    <xf numFmtId="8" fontId="5" fillId="0" borderId="0" xfId="0" applyNumberFormat="1" applyFont="1" applyBorder="1" applyAlignment="1">
      <alignment horizontal="right" vertical="top" wrapText="1"/>
    </xf>
    <xf numFmtId="0" fontId="0" fillId="0" borderId="28" xfId="0" applyBorder="1" applyAlignment="1">
      <alignment/>
    </xf>
    <xf numFmtId="4" fontId="0" fillId="0" borderId="0" xfId="0" applyNumberFormat="1" applyFill="1" applyAlignment="1">
      <alignment/>
    </xf>
    <xf numFmtId="0" fontId="5" fillId="0" borderId="22" xfId="0" applyFont="1" applyFill="1" applyBorder="1" applyAlignment="1">
      <alignment horizontal="center"/>
    </xf>
    <xf numFmtId="179" fontId="0" fillId="0" borderId="29" xfId="0" applyNumberFormat="1" applyFill="1" applyBorder="1" applyAlignment="1">
      <alignment/>
    </xf>
    <xf numFmtId="179" fontId="5" fillId="0" borderId="10" xfId="0" applyNumberFormat="1" applyFont="1" applyFill="1" applyBorder="1" applyAlignment="1">
      <alignment/>
    </xf>
    <xf numFmtId="179" fontId="0" fillId="0" borderId="10" xfId="0" applyNumberFormat="1" applyFill="1" applyBorder="1" applyAlignment="1">
      <alignment/>
    </xf>
    <xf numFmtId="4" fontId="0" fillId="0" borderId="10" xfId="0" applyNumberFormat="1" applyBorder="1" applyAlignment="1">
      <alignment/>
    </xf>
    <xf numFmtId="179" fontId="0" fillId="0" borderId="30" xfId="0" applyNumberFormat="1" applyBorder="1" applyAlignment="1">
      <alignment/>
    </xf>
    <xf numFmtId="179" fontId="0" fillId="0" borderId="10" xfId="0" applyNumberFormat="1" applyBorder="1" applyAlignment="1">
      <alignment/>
    </xf>
    <xf numFmtId="179" fontId="5" fillId="36" borderId="0" xfId="0" applyNumberFormat="1" applyFont="1" applyFill="1" applyBorder="1" applyAlignment="1">
      <alignment/>
    </xf>
    <xf numFmtId="179" fontId="0" fillId="0" borderId="31" xfId="0" applyNumberFormat="1" applyFill="1" applyBorder="1" applyAlignment="1">
      <alignment/>
    </xf>
    <xf numFmtId="179" fontId="0" fillId="0" borderId="24" xfId="0" applyNumberFormat="1" applyFill="1" applyBorder="1" applyAlignment="1">
      <alignment/>
    </xf>
    <xf numFmtId="0" fontId="15" fillId="42" borderId="0" xfId="0" applyFont="1" applyFill="1" applyAlignment="1">
      <alignment vertical="center"/>
    </xf>
    <xf numFmtId="0" fontId="1" fillId="42" borderId="0" xfId="0" applyFont="1" applyFill="1" applyAlignment="1">
      <alignment vertical="center"/>
    </xf>
    <xf numFmtId="4" fontId="15" fillId="42" borderId="0" xfId="0" applyNumberFormat="1" applyFont="1" applyFill="1" applyAlignment="1">
      <alignment vertical="center"/>
    </xf>
    <xf numFmtId="0" fontId="0" fillId="0" borderId="0" xfId="0" applyBorder="1" applyAlignment="1">
      <alignment/>
    </xf>
    <xf numFmtId="179" fontId="0" fillId="0" borderId="24" xfId="0" applyNumberFormat="1" applyFill="1" applyBorder="1" applyAlignment="1">
      <alignment/>
    </xf>
    <xf numFmtId="0" fontId="19" fillId="0" borderId="0" xfId="0" applyFont="1" applyAlignment="1">
      <alignment wrapText="1"/>
    </xf>
    <xf numFmtId="4" fontId="20" fillId="0" borderId="14" xfId="0" applyNumberFormat="1" applyFont="1" applyBorder="1" applyAlignment="1">
      <alignment horizontal="right" vertical="top" wrapText="1"/>
    </xf>
    <xf numFmtId="0" fontId="21" fillId="0" borderId="19" xfId="0" applyFont="1" applyBorder="1" applyAlignment="1">
      <alignment horizontal="center" vertical="top" wrapText="1"/>
    </xf>
    <xf numFmtId="0" fontId="21" fillId="0" borderId="32" xfId="0" applyFont="1" applyBorder="1" applyAlignment="1">
      <alignment horizontal="center" vertical="top" wrapText="1"/>
    </xf>
    <xf numFmtId="4" fontId="20" fillId="33" borderId="14" xfId="0" applyNumberFormat="1" applyFont="1" applyFill="1" applyBorder="1" applyAlignment="1">
      <alignment horizontal="right" vertical="top" wrapText="1"/>
    </xf>
    <xf numFmtId="4" fontId="22" fillId="0" borderId="17" xfId="0" applyNumberFormat="1" applyFont="1" applyBorder="1" applyAlignment="1">
      <alignment horizontal="right" vertical="top" wrapText="1"/>
    </xf>
    <xf numFmtId="4" fontId="22" fillId="0" borderId="14" xfId="0" applyNumberFormat="1" applyFont="1" applyBorder="1" applyAlignment="1">
      <alignment horizontal="right" vertical="top" wrapText="1"/>
    </xf>
    <xf numFmtId="4" fontId="20" fillId="33" borderId="17" xfId="0" applyNumberFormat="1" applyFont="1" applyFill="1" applyBorder="1" applyAlignment="1">
      <alignment horizontal="right" vertical="top" wrapText="1"/>
    </xf>
    <xf numFmtId="4" fontId="20" fillId="39" borderId="17" xfId="0" applyNumberFormat="1" applyFont="1" applyFill="1" applyBorder="1" applyAlignment="1">
      <alignment horizontal="right" vertical="top" wrapText="1"/>
    </xf>
    <xf numFmtId="0" fontId="23" fillId="33" borderId="17" xfId="0" applyFont="1" applyFill="1" applyBorder="1" applyAlignment="1">
      <alignment horizontal="right"/>
    </xf>
    <xf numFmtId="0" fontId="23" fillId="43" borderId="17" xfId="0" applyFont="1" applyFill="1" applyBorder="1" applyAlignment="1">
      <alignment horizontal="right"/>
    </xf>
    <xf numFmtId="4" fontId="20" fillId="43" borderId="17" xfId="0" applyNumberFormat="1" applyFont="1" applyFill="1" applyBorder="1" applyAlignment="1">
      <alignment horizontal="right" vertical="top" wrapText="1"/>
    </xf>
    <xf numFmtId="4" fontId="20" fillId="43" borderId="14" xfId="0" applyNumberFormat="1" applyFont="1" applyFill="1" applyBorder="1" applyAlignment="1">
      <alignment horizontal="right" vertical="top" wrapText="1"/>
    </xf>
    <xf numFmtId="0" fontId="23" fillId="0" borderId="0" xfId="0" applyFont="1" applyFill="1" applyBorder="1" applyAlignment="1">
      <alignment horizontal="right"/>
    </xf>
    <xf numFmtId="4" fontId="22" fillId="35" borderId="17" xfId="0" applyNumberFormat="1" applyFont="1" applyFill="1" applyBorder="1" applyAlignment="1">
      <alignment horizontal="right" vertical="top" wrapText="1"/>
    </xf>
    <xf numFmtId="0" fontId="15" fillId="44" borderId="0" xfId="0" applyFont="1" applyFill="1" applyAlignment="1">
      <alignment vertical="center"/>
    </xf>
    <xf numFmtId="0" fontId="1" fillId="44" borderId="0" xfId="0" applyFont="1" applyFill="1" applyAlignment="1">
      <alignment vertical="center"/>
    </xf>
    <xf numFmtId="4" fontId="15" fillId="44" borderId="0" xfId="0" applyNumberFormat="1" applyFont="1" applyFill="1" applyAlignment="1">
      <alignment vertical="center"/>
    </xf>
    <xf numFmtId="0" fontId="5" fillId="0" borderId="10" xfId="0" applyFont="1" applyBorder="1" applyAlignment="1">
      <alignment horizontal="center"/>
    </xf>
    <xf numFmtId="0" fontId="0" fillId="0" borderId="13" xfId="0" applyFill="1" applyBorder="1" applyAlignment="1">
      <alignment horizontal="right"/>
    </xf>
    <xf numFmtId="4" fontId="20" fillId="35" borderId="14" xfId="0" applyNumberFormat="1" applyFont="1" applyFill="1" applyBorder="1" applyAlignment="1">
      <alignment horizontal="right" vertical="top" wrapText="1"/>
    </xf>
    <xf numFmtId="179" fontId="0" fillId="45" borderId="12" xfId="0" applyNumberFormat="1" applyFill="1" applyBorder="1" applyAlignment="1">
      <alignment/>
    </xf>
    <xf numFmtId="0" fontId="5" fillId="45" borderId="21" xfId="0" applyFont="1" applyFill="1" applyBorder="1" applyAlignment="1">
      <alignment horizontal="center"/>
    </xf>
    <xf numFmtId="179" fontId="5" fillId="45" borderId="20" xfId="0" applyNumberFormat="1" applyFont="1" applyFill="1" applyBorder="1" applyAlignment="1">
      <alignment/>
    </xf>
    <xf numFmtId="179" fontId="0" fillId="45" borderId="20" xfId="0" applyNumberFormat="1" applyFill="1" applyBorder="1" applyAlignment="1">
      <alignment/>
    </xf>
    <xf numFmtId="4" fontId="22" fillId="45" borderId="17" xfId="0" applyNumberFormat="1" applyFont="1" applyFill="1" applyBorder="1" applyAlignment="1">
      <alignment horizontal="right" vertical="top" wrapText="1"/>
    </xf>
    <xf numFmtId="4" fontId="22" fillId="45" borderId="14" xfId="0" applyNumberFormat="1" applyFont="1" applyFill="1" applyBorder="1" applyAlignment="1">
      <alignment horizontal="right" vertical="top" wrapText="1"/>
    </xf>
    <xf numFmtId="4" fontId="20" fillId="45" borderId="14" xfId="0" applyNumberFormat="1" applyFont="1" applyFill="1" applyBorder="1" applyAlignment="1">
      <alignment horizontal="right" vertical="top" wrapText="1"/>
    </xf>
    <xf numFmtId="14" fontId="5" fillId="45" borderId="22" xfId="0" applyNumberFormat="1" applyFont="1" applyFill="1" applyBorder="1" applyAlignment="1">
      <alignment horizontal="center"/>
    </xf>
    <xf numFmtId="179" fontId="0" fillId="45" borderId="10" xfId="0" applyNumberFormat="1" applyFill="1" applyBorder="1" applyAlignment="1">
      <alignment/>
    </xf>
    <xf numFmtId="1" fontId="25" fillId="0" borderId="0" xfId="0" applyNumberFormat="1" applyFont="1" applyFill="1" applyAlignment="1">
      <alignment horizontal="left" vertical="center"/>
    </xf>
    <xf numFmtId="4" fontId="1" fillId="0" borderId="0" xfId="0" applyNumberFormat="1" applyFont="1" applyFill="1" applyAlignment="1">
      <alignment horizontal="right" vertical="center"/>
    </xf>
    <xf numFmtId="14" fontId="1" fillId="0" borderId="0" xfId="0" applyNumberFormat="1" applyFont="1" applyAlignment="1">
      <alignment horizontal="right" vertical="center"/>
    </xf>
    <xf numFmtId="179" fontId="0" fillId="0" borderId="0" xfId="0" applyNumberFormat="1" applyFill="1" applyAlignment="1">
      <alignment/>
    </xf>
    <xf numFmtId="179" fontId="0" fillId="0" borderId="33" xfId="0" applyNumberFormat="1" applyBorder="1" applyAlignment="1">
      <alignment/>
    </xf>
    <xf numFmtId="179" fontId="0" fillId="0" borderId="21" xfId="0" applyNumberFormat="1" applyBorder="1" applyAlignment="1">
      <alignment/>
    </xf>
    <xf numFmtId="179" fontId="0" fillId="0" borderId="34" xfId="0" applyNumberFormat="1" applyBorder="1" applyAlignment="1">
      <alignment/>
    </xf>
    <xf numFmtId="0" fontId="0" fillId="0" borderId="34" xfId="0" applyBorder="1" applyAlignment="1">
      <alignment/>
    </xf>
    <xf numFmtId="179" fontId="0" fillId="35" borderId="35" xfId="0" applyNumberFormat="1" applyFill="1" applyBorder="1" applyAlignment="1">
      <alignment/>
    </xf>
    <xf numFmtId="179" fontId="0" fillId="0" borderId="36" xfId="0" applyNumberFormat="1" applyBorder="1" applyAlignment="1">
      <alignment/>
    </xf>
    <xf numFmtId="179" fontId="16" fillId="0" borderId="37" xfId="0" applyNumberFormat="1" applyFont="1" applyBorder="1" applyAlignment="1">
      <alignment/>
    </xf>
    <xf numFmtId="0" fontId="0" fillId="0" borderId="19" xfId="0" applyBorder="1" applyAlignment="1">
      <alignment/>
    </xf>
    <xf numFmtId="0" fontId="5" fillId="0" borderId="38" xfId="0" applyFont="1" applyBorder="1" applyAlignment="1">
      <alignment/>
    </xf>
    <xf numFmtId="0" fontId="0" fillId="0" borderId="38" xfId="0" applyBorder="1" applyAlignment="1">
      <alignment/>
    </xf>
    <xf numFmtId="0" fontId="0" fillId="0" borderId="38" xfId="0" applyBorder="1" applyAlignment="1">
      <alignment horizontal="right"/>
    </xf>
    <xf numFmtId="0" fontId="0" fillId="0" borderId="32" xfId="0" applyFill="1" applyBorder="1" applyAlignment="1">
      <alignment horizontal="right"/>
    </xf>
    <xf numFmtId="4" fontId="5" fillId="0" borderId="0" xfId="0" applyNumberFormat="1" applyFont="1" applyAlignment="1">
      <alignment/>
    </xf>
    <xf numFmtId="179" fontId="5" fillId="0" borderId="0" xfId="0" applyNumberFormat="1" applyFont="1" applyFill="1" applyBorder="1" applyAlignment="1">
      <alignment/>
    </xf>
    <xf numFmtId="14" fontId="9" fillId="0" borderId="0" xfId="0" applyNumberFormat="1" applyFont="1" applyFill="1" applyAlignment="1">
      <alignment vertical="center"/>
    </xf>
    <xf numFmtId="0" fontId="5" fillId="0" borderId="0" xfId="0" applyFont="1" applyBorder="1" applyAlignment="1">
      <alignment horizontal="center"/>
    </xf>
    <xf numFmtId="179" fontId="5" fillId="45" borderId="10" xfId="0" applyNumberFormat="1" applyFont="1" applyFill="1" applyBorder="1" applyAlignment="1">
      <alignment/>
    </xf>
    <xf numFmtId="179" fontId="0" fillId="0" borderId="39" xfId="0" applyNumberFormat="1" applyBorder="1" applyAlignment="1">
      <alignment/>
    </xf>
    <xf numFmtId="179" fontId="0" fillId="0" borderId="40" xfId="0" applyNumberFormat="1" applyBorder="1" applyAlignment="1">
      <alignment/>
    </xf>
    <xf numFmtId="14" fontId="25" fillId="0" borderId="0" xfId="0" applyNumberFormat="1" applyFont="1" applyFill="1" applyAlignment="1">
      <alignment vertical="center"/>
    </xf>
    <xf numFmtId="179" fontId="0" fillId="0" borderId="17" xfId="0" applyNumberFormat="1" applyBorder="1" applyAlignment="1">
      <alignment/>
    </xf>
    <xf numFmtId="0" fontId="0" fillId="0" borderId="41" xfId="0" applyBorder="1" applyAlignment="1">
      <alignment/>
    </xf>
    <xf numFmtId="179" fontId="0" fillId="0" borderId="42" xfId="0" applyNumberFormat="1" applyBorder="1" applyAlignment="1">
      <alignment/>
    </xf>
    <xf numFmtId="4" fontId="5" fillId="0" borderId="0" xfId="0" applyNumberFormat="1" applyFont="1" applyBorder="1" applyAlignment="1">
      <alignment horizontal="right" wrapText="1"/>
    </xf>
    <xf numFmtId="173" fontId="0" fillId="0" borderId="0" xfId="0" applyNumberFormat="1" applyAlignment="1">
      <alignment/>
    </xf>
    <xf numFmtId="179" fontId="0" fillId="35" borderId="21" xfId="0" applyNumberFormat="1" applyFill="1" applyBorder="1" applyAlignment="1">
      <alignment/>
    </xf>
    <xf numFmtId="14" fontId="1" fillId="35" borderId="0" xfId="0" applyNumberFormat="1" applyFont="1" applyFill="1" applyAlignment="1">
      <alignment vertical="center"/>
    </xf>
    <xf numFmtId="179" fontId="5" fillId="0" borderId="10" xfId="0" applyNumberFormat="1" applyFont="1" applyBorder="1" applyAlignment="1">
      <alignment/>
    </xf>
    <xf numFmtId="0" fontId="0" fillId="0" borderId="0" xfId="0" applyAlignment="1">
      <alignment/>
    </xf>
    <xf numFmtId="4" fontId="0" fillId="0" borderId="0" xfId="0" applyNumberFormat="1" applyAlignment="1">
      <alignment/>
    </xf>
    <xf numFmtId="0" fontId="0" fillId="0" borderId="23" xfId="0" applyBorder="1" applyAlignment="1">
      <alignment/>
    </xf>
    <xf numFmtId="179" fontId="16" fillId="0" borderId="42" xfId="0" applyNumberFormat="1" applyFont="1" applyBorder="1" applyAlignment="1">
      <alignment/>
    </xf>
    <xf numFmtId="4" fontId="20" fillId="43" borderId="12" xfId="0" applyNumberFormat="1" applyFont="1" applyFill="1" applyBorder="1" applyAlignment="1">
      <alignment horizontal="right" vertical="top" wrapText="1"/>
    </xf>
    <xf numFmtId="179" fontId="5" fillId="35" borderId="20" xfId="0" applyNumberFormat="1" applyFont="1" applyFill="1" applyBorder="1" applyAlignment="1">
      <alignment/>
    </xf>
    <xf numFmtId="14" fontId="1" fillId="0" borderId="0" xfId="0" applyNumberFormat="1" applyFont="1" applyAlignment="1">
      <alignment horizontal="center"/>
    </xf>
    <xf numFmtId="179" fontId="0" fillId="46" borderId="10" xfId="0" applyNumberFormat="1" applyFill="1" applyBorder="1" applyAlignment="1">
      <alignment/>
    </xf>
    <xf numFmtId="179"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179" fontId="0" fillId="46" borderId="12" xfId="0" applyNumberFormat="1" applyFill="1" applyBorder="1" applyAlignment="1">
      <alignment/>
    </xf>
    <xf numFmtId="0" fontId="5" fillId="46" borderId="21" xfId="0" applyFont="1" applyFill="1" applyBorder="1" applyAlignment="1">
      <alignment horizontal="center"/>
    </xf>
    <xf numFmtId="179" fontId="5" fillId="46" borderId="20" xfId="0" applyNumberFormat="1" applyFont="1" applyFill="1" applyBorder="1" applyAlignment="1">
      <alignment/>
    </xf>
    <xf numFmtId="179" fontId="0" fillId="46" borderId="20" xfId="0" applyNumberFormat="1" applyFill="1" applyBorder="1" applyAlignment="1">
      <alignment/>
    </xf>
    <xf numFmtId="4" fontId="22" fillId="46" borderId="14" xfId="0" applyNumberFormat="1" applyFont="1" applyFill="1" applyBorder="1" applyAlignment="1">
      <alignment horizontal="right" vertical="top" wrapText="1"/>
    </xf>
    <xf numFmtId="4" fontId="20" fillId="46" borderId="14" xfId="0" applyNumberFormat="1" applyFont="1" applyFill="1" applyBorder="1" applyAlignment="1">
      <alignment horizontal="right" vertical="top" wrapText="1"/>
    </xf>
    <xf numFmtId="4" fontId="22" fillId="46" borderId="17" xfId="0" applyNumberFormat="1" applyFont="1" applyFill="1" applyBorder="1" applyAlignment="1">
      <alignment horizontal="right" vertical="top" wrapText="1"/>
    </xf>
    <xf numFmtId="0" fontId="5" fillId="0" borderId="0" xfId="0" applyFont="1" applyBorder="1" applyAlignment="1">
      <alignment horizontal="right"/>
    </xf>
    <xf numFmtId="0" fontId="0" fillId="0" borderId="0" xfId="0" applyFont="1" applyAlignment="1">
      <alignment/>
    </xf>
    <xf numFmtId="179" fontId="0" fillId="0" borderId="26" xfId="0" applyNumberFormat="1" applyBorder="1" applyAlignment="1">
      <alignment/>
    </xf>
    <xf numFmtId="4" fontId="22" fillId="47" borderId="17" xfId="0" applyNumberFormat="1" applyFont="1" applyFill="1" applyBorder="1" applyAlignment="1">
      <alignment horizontal="right" vertical="top" wrapText="1"/>
    </xf>
    <xf numFmtId="4" fontId="22" fillId="48" borderId="17" xfId="0" applyNumberFormat="1" applyFont="1" applyFill="1" applyBorder="1" applyAlignment="1">
      <alignment horizontal="right" vertical="top" wrapText="1"/>
    </xf>
    <xf numFmtId="4" fontId="22" fillId="48" borderId="14" xfId="0" applyNumberFormat="1" applyFont="1" applyFill="1" applyBorder="1" applyAlignment="1">
      <alignment horizontal="right" vertical="top" wrapText="1"/>
    </xf>
    <xf numFmtId="4" fontId="20" fillId="48" borderId="14" xfId="0" applyNumberFormat="1" applyFont="1" applyFill="1" applyBorder="1" applyAlignment="1">
      <alignment horizontal="right" vertical="top" wrapText="1"/>
    </xf>
    <xf numFmtId="179" fontId="0" fillId="47" borderId="0" xfId="0" applyNumberFormat="1" applyFill="1" applyBorder="1" applyAlignment="1">
      <alignment/>
    </xf>
    <xf numFmtId="179" fontId="16" fillId="0" borderId="0" xfId="0" applyNumberFormat="1" applyFont="1" applyBorder="1" applyAlignment="1">
      <alignment/>
    </xf>
    <xf numFmtId="0" fontId="69" fillId="0" borderId="0" xfId="0" applyFont="1" applyAlignment="1">
      <alignment horizontal="center" vertical="center"/>
    </xf>
    <xf numFmtId="0" fontId="69" fillId="0" borderId="0" xfId="0" applyFont="1" applyFill="1" applyAlignment="1">
      <alignment vertical="center"/>
    </xf>
    <xf numFmtId="179" fontId="5" fillId="46" borderId="0" xfId="0" applyNumberFormat="1" applyFont="1" applyFill="1" applyAlignment="1">
      <alignment/>
    </xf>
    <xf numFmtId="179" fontId="0" fillId="47" borderId="17" xfId="0" applyNumberFormat="1" applyFill="1" applyBorder="1" applyAlignment="1">
      <alignment/>
    </xf>
    <xf numFmtId="0" fontId="0" fillId="0" borderId="32" xfId="0" applyBorder="1" applyAlignment="1">
      <alignment horizontal="right"/>
    </xf>
    <xf numFmtId="179" fontId="0" fillId="0" borderId="35" xfId="0" applyNumberFormat="1" applyBorder="1" applyAlignment="1">
      <alignment/>
    </xf>
    <xf numFmtId="4" fontId="69" fillId="0" borderId="0" xfId="0" applyNumberFormat="1" applyFont="1" applyAlignment="1">
      <alignment vertical="center"/>
    </xf>
    <xf numFmtId="4" fontId="22" fillId="0" borderId="18" xfId="0" applyNumberFormat="1" applyFont="1" applyBorder="1" applyAlignment="1">
      <alignment horizontal="right" vertical="top" wrapText="1"/>
    </xf>
    <xf numFmtId="179" fontId="0" fillId="0" borderId="43" xfId="0" applyNumberFormat="1" applyBorder="1" applyAlignment="1">
      <alignment/>
    </xf>
    <xf numFmtId="179" fontId="70" fillId="0" borderId="17" xfId="0" applyNumberFormat="1" applyFont="1" applyBorder="1" applyAlignment="1">
      <alignment/>
    </xf>
    <xf numFmtId="179" fontId="71" fillId="0" borderId="42" xfId="0" applyNumberFormat="1" applyFont="1" applyBorder="1" applyAlignment="1">
      <alignment/>
    </xf>
    <xf numFmtId="179" fontId="16" fillId="0" borderId="44" xfId="0" applyNumberFormat="1" applyFont="1" applyBorder="1" applyAlignment="1">
      <alignment/>
    </xf>
    <xf numFmtId="179" fontId="0" fillId="0" borderId="31" xfId="0" applyNumberFormat="1" applyBorder="1" applyAlignment="1">
      <alignment/>
    </xf>
    <xf numFmtId="0" fontId="0" fillId="0" borderId="31" xfId="0" applyBorder="1" applyAlignment="1">
      <alignment/>
    </xf>
    <xf numFmtId="4" fontId="0" fillId="0" borderId="33" xfId="0" applyNumberFormat="1" applyBorder="1" applyAlignment="1">
      <alignment/>
    </xf>
    <xf numFmtId="179" fontId="71" fillId="0" borderId="37" xfId="0" applyNumberFormat="1" applyFont="1" applyBorder="1" applyAlignment="1">
      <alignment/>
    </xf>
    <xf numFmtId="0" fontId="0" fillId="0" borderId="21" xfId="0" applyBorder="1" applyAlignment="1">
      <alignment/>
    </xf>
    <xf numFmtId="179" fontId="71" fillId="0" borderId="34" xfId="0" applyNumberFormat="1" applyFont="1" applyBorder="1" applyAlignment="1">
      <alignment/>
    </xf>
    <xf numFmtId="0" fontId="0" fillId="0" borderId="35" xfId="0" applyBorder="1" applyAlignment="1">
      <alignment/>
    </xf>
    <xf numFmtId="179" fontId="5" fillId="39" borderId="19" xfId="0" applyNumberFormat="1" applyFont="1" applyFill="1" applyBorder="1" applyAlignment="1">
      <alignment/>
    </xf>
    <xf numFmtId="179" fontId="5" fillId="36" borderId="15" xfId="0" applyNumberFormat="1" applyFont="1" applyFill="1" applyBorder="1" applyAlignment="1">
      <alignment/>
    </xf>
    <xf numFmtId="0" fontId="72" fillId="27" borderId="0" xfId="0" applyFont="1" applyFill="1" applyAlignment="1">
      <alignment horizontal="center"/>
    </xf>
    <xf numFmtId="0" fontId="73" fillId="27" borderId="0" xfId="0" applyFont="1" applyFill="1" applyAlignment="1">
      <alignment horizontal="right" vertical="center"/>
    </xf>
    <xf numFmtId="0" fontId="15" fillId="44" borderId="0" xfId="0" applyFont="1" applyFill="1" applyAlignment="1">
      <alignment horizontal="center"/>
    </xf>
    <xf numFmtId="0" fontId="2" fillId="44" borderId="0" xfId="0" applyFont="1" applyFill="1" applyAlignment="1">
      <alignment horizontal="center"/>
    </xf>
    <xf numFmtId="0" fontId="15" fillId="42" borderId="0" xfId="0" applyFont="1" applyFill="1" applyAlignment="1">
      <alignment horizontal="center"/>
    </xf>
    <xf numFmtId="0" fontId="2" fillId="42" borderId="0" xfId="0" applyFont="1" applyFill="1" applyAlignment="1">
      <alignment horizontal="center"/>
    </xf>
    <xf numFmtId="0" fontId="15" fillId="35" borderId="0" xfId="0" applyFont="1" applyFill="1" applyAlignment="1">
      <alignment horizontal="center"/>
    </xf>
    <xf numFmtId="0" fontId="2" fillId="35" borderId="0" xfId="0" applyFont="1" applyFill="1" applyAlignment="1">
      <alignment horizontal="center"/>
    </xf>
    <xf numFmtId="0" fontId="15" fillId="39" borderId="0" xfId="0" applyFont="1" applyFill="1" applyAlignment="1">
      <alignment horizontal="center"/>
    </xf>
    <xf numFmtId="0" fontId="2" fillId="39" borderId="0" xfId="0" applyFont="1" applyFill="1" applyAlignment="1">
      <alignment horizontal="center"/>
    </xf>
    <xf numFmtId="0" fontId="15" fillId="40" borderId="0" xfId="0" applyFont="1" applyFill="1" applyAlignment="1">
      <alignment horizontal="center"/>
    </xf>
    <xf numFmtId="0" fontId="2" fillId="40" borderId="0" xfId="0" applyFont="1" applyFill="1" applyAlignment="1">
      <alignment horizontal="center"/>
    </xf>
    <xf numFmtId="0" fontId="15" fillId="41" borderId="0" xfId="0" applyFont="1" applyFill="1" applyAlignment="1">
      <alignment horizontal="center"/>
    </xf>
    <xf numFmtId="0" fontId="2" fillId="41" borderId="0" xfId="0" applyFont="1" applyFill="1" applyAlignment="1">
      <alignment horizontal="center"/>
    </xf>
    <xf numFmtId="0" fontId="21" fillId="0" borderId="19" xfId="0" applyFont="1" applyBorder="1" applyAlignment="1">
      <alignment horizontal="center" vertical="top" wrapText="1"/>
    </xf>
    <xf numFmtId="0" fontId="21" fillId="0" borderId="32" xfId="0" applyFont="1" applyBorder="1" applyAlignment="1">
      <alignment horizontal="center" vertical="top" wrapText="1"/>
    </xf>
    <xf numFmtId="179" fontId="0" fillId="0" borderId="31" xfId="0" applyNumberFormat="1" applyFill="1" applyBorder="1" applyAlignment="1">
      <alignment horizontal="right"/>
    </xf>
    <xf numFmtId="179" fontId="0" fillId="0" borderId="25" xfId="0" applyNumberFormat="1" applyFill="1" applyBorder="1" applyAlignment="1">
      <alignment horizontal="right"/>
    </xf>
    <xf numFmtId="179" fontId="0" fillId="0" borderId="24" xfId="0" applyNumberFormat="1" applyFill="1" applyBorder="1" applyAlignment="1">
      <alignment horizontal="right"/>
    </xf>
    <xf numFmtId="0" fontId="5" fillId="0" borderId="23" xfId="0" applyFont="1" applyBorder="1" applyAlignment="1">
      <alignment horizontal="center"/>
    </xf>
    <xf numFmtId="0" fontId="5" fillId="0" borderId="18" xfId="0" applyFont="1" applyBorder="1" applyAlignment="1">
      <alignment horizontal="center"/>
    </xf>
    <xf numFmtId="0" fontId="5" fillId="39" borderId="19" xfId="0" applyFont="1" applyFill="1" applyBorder="1" applyAlignment="1">
      <alignment horizontal="center" vertical="center"/>
    </xf>
    <xf numFmtId="0" fontId="0" fillId="39" borderId="32" xfId="0" applyFill="1" applyBorder="1" applyAlignment="1">
      <alignment horizontal="center" vertical="center"/>
    </xf>
    <xf numFmtId="0" fontId="5" fillId="38" borderId="23" xfId="0" applyFont="1" applyFill="1" applyBorder="1" applyAlignment="1">
      <alignment horizontal="center"/>
    </xf>
    <xf numFmtId="0" fontId="5" fillId="38" borderId="18" xfId="0" applyFont="1" applyFill="1" applyBorder="1" applyAlignment="1">
      <alignment horizontal="center"/>
    </xf>
    <xf numFmtId="0" fontId="5" fillId="33" borderId="23" xfId="0" applyFont="1" applyFill="1" applyBorder="1" applyAlignment="1">
      <alignment horizontal="center"/>
    </xf>
    <xf numFmtId="0" fontId="5" fillId="33" borderId="45" xfId="0" applyFont="1" applyFill="1" applyBorder="1" applyAlignment="1">
      <alignment horizontal="center"/>
    </xf>
    <xf numFmtId="0" fontId="5" fillId="33" borderId="18" xfId="0" applyFont="1" applyFill="1" applyBorder="1" applyAlignment="1">
      <alignment horizontal="center"/>
    </xf>
    <xf numFmtId="0" fontId="0" fillId="38" borderId="45" xfId="0" applyFill="1" applyBorder="1" applyAlignment="1">
      <alignment horizontal="center"/>
    </xf>
    <xf numFmtId="0" fontId="0" fillId="38" borderId="18" xfId="0" applyFill="1" applyBorder="1" applyAlignment="1">
      <alignment horizontal="center"/>
    </xf>
    <xf numFmtId="179" fontId="0" fillId="0" borderId="44" xfId="0" applyNumberFormat="1" applyBorder="1" applyAlignment="1">
      <alignment horizontal="center"/>
    </xf>
    <xf numFmtId="179" fontId="0" fillId="0" borderId="46" xfId="0" applyNumberFormat="1" applyBorder="1" applyAlignment="1">
      <alignment horizontal="center"/>
    </xf>
    <xf numFmtId="179" fontId="0" fillId="0" borderId="47" xfId="0" applyNumberFormat="1" applyBorder="1" applyAlignment="1">
      <alignment horizontal="center"/>
    </xf>
    <xf numFmtId="179" fontId="0" fillId="0" borderId="31" xfId="0" applyNumberFormat="1" applyBorder="1" applyAlignment="1">
      <alignment horizontal="right"/>
    </xf>
    <xf numFmtId="179" fontId="0" fillId="0" borderId="25" xfId="0" applyNumberFormat="1" applyBorder="1" applyAlignment="1">
      <alignment horizontal="right"/>
    </xf>
    <xf numFmtId="179" fontId="0" fillId="0" borderId="24" xfId="0" applyNumberFormat="1" applyBorder="1" applyAlignment="1">
      <alignment horizontal="right"/>
    </xf>
    <xf numFmtId="0" fontId="0" fillId="0" borderId="45" xfId="0" applyBorder="1" applyAlignment="1">
      <alignment/>
    </xf>
    <xf numFmtId="0" fontId="0" fillId="0" borderId="18" xfId="0" applyBorder="1" applyAlignment="1">
      <alignment/>
    </xf>
    <xf numFmtId="0" fontId="0" fillId="38" borderId="23" xfId="0" applyFill="1" applyBorder="1" applyAlignment="1">
      <alignment horizontal="center"/>
    </xf>
    <xf numFmtId="179" fontId="0" fillId="0" borderId="44" xfId="0" applyNumberFormat="1" applyBorder="1" applyAlignment="1">
      <alignment horizontal="right"/>
    </xf>
    <xf numFmtId="179" fontId="0" fillId="0" borderId="47" xfId="0" applyNumberFormat="1" applyBorder="1" applyAlignment="1">
      <alignment horizontal="right"/>
    </xf>
    <xf numFmtId="4" fontId="22" fillId="0" borderId="23" xfId="0" applyNumberFormat="1" applyFont="1" applyBorder="1" applyAlignment="1">
      <alignment horizontal="right" vertical="top" wrapText="1"/>
    </xf>
    <xf numFmtId="4" fontId="22" fillId="0" borderId="18" xfId="0" applyNumberFormat="1" applyFont="1" applyBorder="1" applyAlignment="1">
      <alignment horizontal="right" vertical="top" wrapText="1"/>
    </xf>
    <xf numFmtId="179" fontId="0" fillId="0" borderId="44" xfId="0" applyNumberFormat="1" applyFont="1" applyFill="1" applyBorder="1" applyAlignment="1">
      <alignment horizontal="right"/>
    </xf>
    <xf numFmtId="179" fontId="0" fillId="0" borderId="47" xfId="0" applyNumberFormat="1" applyFont="1" applyFill="1" applyBorder="1" applyAlignment="1">
      <alignment horizontal="right"/>
    </xf>
    <xf numFmtId="179" fontId="0" fillId="0" borderId="31" xfId="0" applyNumberFormat="1" applyBorder="1" applyAlignment="1">
      <alignment horizontal="center"/>
    </xf>
    <xf numFmtId="179" fontId="0" fillId="0" borderId="24" xfId="0" applyNumberFormat="1" applyBorder="1" applyAlignment="1">
      <alignment horizontal="center"/>
    </xf>
    <xf numFmtId="179" fontId="0" fillId="0" borderId="31" xfId="0" applyNumberFormat="1" applyFill="1" applyBorder="1" applyAlignment="1">
      <alignment horizontal="center"/>
    </xf>
    <xf numFmtId="179" fontId="0" fillId="0" borderId="24" xfId="0" applyNumberFormat="1" applyFill="1" applyBorder="1" applyAlignment="1">
      <alignment horizontal="center"/>
    </xf>
    <xf numFmtId="179" fontId="0" fillId="0" borderId="31" xfId="0" applyNumberFormat="1" applyFill="1" applyBorder="1" applyAlignment="1">
      <alignment/>
    </xf>
    <xf numFmtId="179" fontId="0" fillId="0" borderId="24" xfId="0" applyNumberFormat="1" applyFill="1" applyBorder="1" applyAlignment="1">
      <alignment/>
    </xf>
    <xf numFmtId="179" fontId="0" fillId="45" borderId="31" xfId="0" applyNumberFormat="1" applyFill="1" applyBorder="1" applyAlignment="1">
      <alignment horizontal="right"/>
    </xf>
    <xf numFmtId="179" fontId="0" fillId="45" borderId="24" xfId="0" applyNumberFormat="1" applyFill="1" applyBorder="1" applyAlignment="1">
      <alignment horizontal="right"/>
    </xf>
    <xf numFmtId="179" fontId="0" fillId="45" borderId="31" xfId="0" applyNumberFormat="1" applyFill="1" applyBorder="1" applyAlignment="1">
      <alignment/>
    </xf>
    <xf numFmtId="179" fontId="0" fillId="45" borderId="24" xfId="0" applyNumberFormat="1" applyFill="1" applyBorder="1" applyAlignment="1">
      <alignment/>
    </xf>
    <xf numFmtId="179" fontId="0" fillId="45" borderId="44" xfId="0" applyNumberFormat="1" applyFill="1" applyBorder="1" applyAlignment="1">
      <alignment horizontal="right"/>
    </xf>
    <xf numFmtId="179" fontId="0" fillId="45" borderId="47" xfId="0" applyNumberFormat="1" applyFill="1" applyBorder="1" applyAlignment="1">
      <alignment horizontal="right"/>
    </xf>
    <xf numFmtId="0" fontId="69" fillId="0" borderId="0" xfId="0" applyFont="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ioriello@lettere.uniba.it" TargetMode="External" /><Relationship Id="rId2" Type="http://schemas.openxmlformats.org/officeDocument/2006/relationships/hyperlink" Target="mailto:masciti@forcom.it" TargetMode="External" /><Relationship Id="rId3" Type="http://schemas.openxmlformats.org/officeDocument/2006/relationships/hyperlink" Target="mailto:e.bosna@sc-formaz.uniba.it" TargetMode="External" /><Relationship Id="rId4" Type="http://schemas.openxmlformats.org/officeDocument/2006/relationships/hyperlink" Target="mailto:giovanni.aloisio@unile.it" TargetMode="External" /><Relationship Id="rId5" Type="http://schemas.openxmlformats.org/officeDocument/2006/relationships/hyperlink" Target="mailto:p.masini@poliba.it" TargetMode="External" /><Relationship Id="rId6" Type="http://schemas.openxmlformats.org/officeDocument/2006/relationships/hyperlink" Target="mailto:vincenzo.zonno@unile.it" TargetMode="External" /><Relationship Id="rId7" Type="http://schemas.openxmlformats.org/officeDocument/2006/relationships/hyperlink" Target="mailto:marcello.guaitoli@unile.it"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S55"/>
  <sheetViews>
    <sheetView tabSelected="1" zoomScale="90" zoomScaleNormal="90" zoomScalePageLayoutView="0" workbookViewId="0" topLeftCell="A1">
      <pane xSplit="4" ySplit="2" topLeftCell="DK3" activePane="bottomRight" state="frozen"/>
      <selection pane="topLeft" activeCell="A1" sqref="A1"/>
      <selection pane="topRight" activeCell="E1" sqref="E1"/>
      <selection pane="bottomLeft" activeCell="A2" sqref="A2"/>
      <selection pane="bottomRight" activeCell="EA13" sqref="EA13"/>
    </sheetView>
  </sheetViews>
  <sheetFormatPr defaultColWidth="9.140625" defaultRowHeight="12.75"/>
  <cols>
    <col min="1" max="2" width="3.140625" style="5" customWidth="1"/>
    <col min="3" max="3" width="3.8515625" style="34" customWidth="1"/>
    <col min="4" max="4" width="12.421875" style="34" customWidth="1"/>
    <col min="5" max="5" width="17.00390625" style="5" customWidth="1"/>
    <col min="6" max="6" width="12.00390625" style="5" customWidth="1"/>
    <col min="7" max="8" width="12.57421875" style="62" customWidth="1"/>
    <col min="9" max="9" width="25.57421875" style="62" customWidth="1"/>
    <col min="10" max="10" width="12.8515625" style="7" customWidth="1"/>
    <col min="11" max="11" width="15.7109375" style="7" bestFit="1" customWidth="1"/>
    <col min="12" max="12" width="22.00390625" style="59" customWidth="1"/>
    <col min="13" max="13" width="10.421875" style="18" customWidth="1"/>
    <col min="14" max="14" width="10.00390625" style="18" customWidth="1"/>
    <col min="15" max="17" width="8.421875" style="43" customWidth="1"/>
    <col min="18" max="18" width="12.57421875" style="67" customWidth="1"/>
    <col min="19" max="19" width="11.8515625" style="67" customWidth="1"/>
    <col min="20" max="22" width="11.8515625" style="43" customWidth="1"/>
    <col min="23" max="23" width="8.421875" style="43" hidden="1" customWidth="1"/>
    <col min="24" max="24" width="7.57421875" style="38" customWidth="1"/>
    <col min="25" max="25" width="9.00390625" style="24" customWidth="1"/>
    <col min="26" max="27" width="7.00390625" style="5" hidden="1" customWidth="1"/>
    <col min="28" max="28" width="6.7109375" style="5" hidden="1" customWidth="1"/>
    <col min="29" max="29" width="6.8515625" style="5" hidden="1" customWidth="1"/>
    <col min="30" max="30" width="6.7109375" style="5" hidden="1" customWidth="1"/>
    <col min="31" max="34" width="7.28125" style="5" hidden="1" customWidth="1"/>
    <col min="35" max="35" width="7.140625" style="5" hidden="1" customWidth="1"/>
    <col min="36" max="36" width="8.421875" style="28" customWidth="1"/>
    <col min="37" max="37" width="7.57421875" style="13" hidden="1" customWidth="1"/>
    <col min="38" max="38" width="6.28125" style="5" customWidth="1"/>
    <col min="39" max="39" width="4.8515625" style="5" hidden="1" customWidth="1"/>
    <col min="40" max="40" width="4.140625" style="5" hidden="1" customWidth="1"/>
    <col min="41" max="41" width="5.28125" style="5" hidden="1" customWidth="1"/>
    <col min="42" max="42" width="4.140625" style="40" hidden="1" customWidth="1"/>
    <col min="43" max="43" width="21.28125" style="5" customWidth="1"/>
    <col min="44" max="44" width="5.140625" style="40" hidden="1" customWidth="1"/>
    <col min="45" max="45" width="39.00390625" style="5" hidden="1" customWidth="1"/>
    <col min="46" max="46" width="45.140625" style="51" hidden="1" customWidth="1"/>
    <col min="47" max="47" width="10.8515625" style="5" bestFit="1" customWidth="1"/>
    <col min="48" max="48" width="10.00390625" style="5" customWidth="1"/>
    <col min="49" max="49" width="5.57421875" style="5" customWidth="1"/>
    <col min="50" max="50" width="10.421875" style="5" customWidth="1"/>
    <col min="51" max="51" width="8.57421875" style="5" customWidth="1"/>
    <col min="52" max="52" width="8.00390625" style="5" customWidth="1"/>
    <col min="53" max="53" width="10.7109375" style="5" customWidth="1"/>
    <col min="54" max="55" width="12.421875" style="40" customWidth="1"/>
    <col min="56" max="57" width="10.8515625" style="5" bestFit="1" customWidth="1"/>
    <col min="58" max="58" width="10.8515625" style="5" customWidth="1"/>
    <col min="59" max="59" width="31.7109375" style="5" bestFit="1" customWidth="1"/>
    <col min="60" max="60" width="28.421875" style="5" bestFit="1" customWidth="1"/>
    <col min="61" max="61" width="10.8515625" style="5" customWidth="1"/>
    <col min="62" max="62" width="16.7109375" style="5" bestFit="1" customWidth="1"/>
    <col min="63" max="63" width="11.00390625" style="5" customWidth="1"/>
    <col min="64" max="64" width="12.00390625" style="5" customWidth="1"/>
    <col min="65" max="65" width="11.00390625" style="5" customWidth="1"/>
    <col min="66" max="66" width="12.140625" style="5" bestFit="1" customWidth="1"/>
    <col min="67" max="67" width="12.7109375" style="40" bestFit="1" customWidth="1"/>
    <col min="68" max="68" width="12.57421875" style="5" bestFit="1" customWidth="1"/>
    <col min="69" max="69" width="10.57421875" style="5" bestFit="1" customWidth="1"/>
    <col min="70" max="70" width="12.140625" style="5" bestFit="1" customWidth="1"/>
    <col min="71" max="72" width="11.7109375" style="5" customWidth="1"/>
    <col min="73" max="73" width="11.57421875" style="5" bestFit="1" customWidth="1"/>
    <col min="74" max="74" width="12.57421875" style="5" customWidth="1"/>
    <col min="75" max="75" width="12.28125" style="5" customWidth="1"/>
    <col min="76" max="76" width="11.421875" style="5" customWidth="1"/>
    <col min="77" max="77" width="10.28125" style="5" bestFit="1" customWidth="1"/>
    <col min="78" max="78" width="9.57421875" style="5" bestFit="1" customWidth="1"/>
    <col min="79" max="79" width="12.57421875" style="5" customWidth="1"/>
    <col min="80" max="80" width="10.8515625" style="5" bestFit="1" customWidth="1"/>
    <col min="81" max="81" width="13.28125" style="5" bestFit="1" customWidth="1"/>
    <col min="82" max="82" width="10.8515625" style="5" bestFit="1" customWidth="1"/>
    <col min="83" max="83" width="11.7109375" style="5" bestFit="1" customWidth="1"/>
    <col min="84" max="84" width="12.57421875" style="5" bestFit="1" customWidth="1"/>
    <col min="85" max="86" width="10.8515625" style="5" bestFit="1" customWidth="1"/>
    <col min="87" max="87" width="12.00390625" style="5" customWidth="1"/>
    <col min="88" max="88" width="12.28125" style="5" customWidth="1"/>
    <col min="89" max="91" width="10.57421875" style="5" bestFit="1" customWidth="1"/>
    <col min="92" max="92" width="9.140625" style="5" customWidth="1"/>
    <col min="93" max="93" width="10.8515625" style="5" bestFit="1" customWidth="1"/>
    <col min="94" max="94" width="12.140625" style="5" bestFit="1" customWidth="1"/>
    <col min="95" max="95" width="10.8515625" style="5" bestFit="1" customWidth="1"/>
    <col min="96" max="97" width="11.421875" style="5" bestFit="1" customWidth="1"/>
    <col min="98" max="98" width="10.8515625" style="5" bestFit="1" customWidth="1"/>
    <col min="99" max="99" width="10.57421875" style="5" bestFit="1" customWidth="1"/>
    <col min="100" max="100" width="12.00390625" style="5" customWidth="1"/>
    <col min="101" max="101" width="10.8515625" style="5" bestFit="1" customWidth="1"/>
    <col min="102" max="103" width="10.00390625" style="5" bestFit="1" customWidth="1"/>
    <col min="104" max="105" width="9.140625" style="5" customWidth="1"/>
    <col min="106" max="106" width="12.57421875" style="5" customWidth="1"/>
    <col min="107" max="107" width="12.140625" style="5" bestFit="1" customWidth="1"/>
    <col min="108" max="108" width="10.8515625" style="5" bestFit="1" customWidth="1"/>
    <col min="109" max="109" width="10.7109375" style="5" bestFit="1" customWidth="1"/>
    <col min="110" max="110" width="11.421875" style="5" bestFit="1" customWidth="1"/>
    <col min="111" max="112" width="10.8515625" style="5" bestFit="1" customWidth="1"/>
    <col min="113" max="113" width="13.28125" style="5" bestFit="1" customWidth="1"/>
    <col min="114" max="114" width="10.8515625" style="5" bestFit="1" customWidth="1"/>
    <col min="115" max="115" width="11.421875" style="5" bestFit="1" customWidth="1"/>
    <col min="116" max="118" width="9.140625" style="5" customWidth="1"/>
    <col min="119" max="119" width="10.8515625" style="5" bestFit="1" customWidth="1"/>
    <col min="120" max="120" width="11.57421875" style="5" bestFit="1" customWidth="1"/>
    <col min="121" max="122" width="10.57421875" style="5" bestFit="1" customWidth="1"/>
    <col min="123" max="123" width="9.8515625" style="5" bestFit="1" customWidth="1"/>
    <col min="124" max="124" width="10.57421875" style="5" bestFit="1" customWidth="1"/>
    <col min="125" max="125" width="10.8515625" style="5" bestFit="1" customWidth="1"/>
    <col min="126" max="126" width="12.140625" style="5" bestFit="1" customWidth="1"/>
    <col min="127" max="127" width="11.7109375" style="5" bestFit="1" customWidth="1"/>
    <col min="128" max="128" width="11.28125" style="5" bestFit="1" customWidth="1"/>
    <col min="129" max="131" width="9.140625" style="5" customWidth="1"/>
    <col min="132" max="132" width="10.8515625" style="5" bestFit="1" customWidth="1"/>
    <col min="133" max="133" width="12.57421875" style="5" bestFit="1" customWidth="1"/>
    <col min="134" max="134" width="10.57421875" style="5" bestFit="1" customWidth="1"/>
    <col min="135" max="135" width="9.140625" style="5" customWidth="1"/>
    <col min="136" max="136" width="12.140625" style="5" bestFit="1" customWidth="1"/>
    <col min="137" max="137" width="11.7109375" style="5" bestFit="1" customWidth="1"/>
    <col min="138" max="141" width="11.7109375" style="5" customWidth="1"/>
    <col min="142" max="143" width="11.421875" style="5" bestFit="1" customWidth="1"/>
    <col min="144" max="144" width="10.421875" style="5" bestFit="1" customWidth="1"/>
    <col min="145" max="145" width="12.00390625" style="5" bestFit="1" customWidth="1"/>
    <col min="146" max="146" width="11.140625" style="5" bestFit="1" customWidth="1"/>
    <col min="147" max="148" width="11.421875" style="5" bestFit="1" customWidth="1"/>
    <col min="149" max="149" width="10.00390625" style="5" bestFit="1" customWidth="1"/>
    <col min="150" max="16384" width="9.140625" style="5" customWidth="1"/>
  </cols>
  <sheetData>
    <row r="1" spans="63:144" ht="17.25" customHeight="1">
      <c r="BK1" s="338" t="s">
        <v>255</v>
      </c>
      <c r="BL1" s="339"/>
      <c r="BM1" s="339"/>
      <c r="BN1" s="339"/>
      <c r="BO1" s="339"/>
      <c r="BP1" s="339"/>
      <c r="BQ1" s="339"/>
      <c r="BR1" s="339"/>
      <c r="BS1" s="340" t="s">
        <v>636</v>
      </c>
      <c r="BT1" s="340"/>
      <c r="BU1" s="340"/>
      <c r="BV1" s="340"/>
      <c r="BW1" s="340"/>
      <c r="BX1" s="340"/>
      <c r="BY1" s="341"/>
      <c r="BZ1" s="341"/>
      <c r="CA1" s="341"/>
      <c r="CB1" s="341"/>
      <c r="CC1" s="341"/>
      <c r="CD1" s="341"/>
      <c r="CE1" s="341"/>
      <c r="CF1" s="342" t="s">
        <v>15</v>
      </c>
      <c r="CG1" s="342"/>
      <c r="CH1" s="342"/>
      <c r="CI1" s="342"/>
      <c r="CJ1" s="342"/>
      <c r="CK1" s="342"/>
      <c r="CL1" s="343"/>
      <c r="CM1" s="343"/>
      <c r="CN1" s="343"/>
      <c r="CO1" s="343"/>
      <c r="CP1" s="343"/>
      <c r="CQ1" s="343"/>
      <c r="CR1" s="343"/>
      <c r="CS1" s="344" t="s">
        <v>107</v>
      </c>
      <c r="CT1" s="344"/>
      <c r="CU1" s="344"/>
      <c r="CV1" s="344"/>
      <c r="CW1" s="344"/>
      <c r="CX1" s="344"/>
      <c r="CY1" s="345"/>
      <c r="CZ1" s="345"/>
      <c r="DA1" s="345"/>
      <c r="DB1" s="345"/>
      <c r="DC1" s="345"/>
      <c r="DD1" s="345"/>
      <c r="DE1" s="345"/>
      <c r="DF1" s="336" t="s">
        <v>222</v>
      </c>
      <c r="DG1" s="336"/>
      <c r="DH1" s="336"/>
      <c r="DI1" s="336"/>
      <c r="DJ1" s="336"/>
      <c r="DK1" s="336"/>
      <c r="DL1" s="337"/>
      <c r="DM1" s="337"/>
      <c r="DN1" s="337"/>
      <c r="DO1" s="337"/>
      <c r="DP1" s="337"/>
      <c r="DQ1" s="337"/>
      <c r="DR1" s="337"/>
      <c r="DS1" s="334" t="s">
        <v>368</v>
      </c>
      <c r="DT1" s="334"/>
      <c r="DU1" s="334"/>
      <c r="DV1" s="334"/>
      <c r="DW1" s="334"/>
      <c r="DX1" s="334"/>
      <c r="DY1" s="335"/>
      <c r="DZ1" s="335"/>
      <c r="EA1" s="335"/>
      <c r="EB1" s="335"/>
      <c r="EC1" s="335"/>
      <c r="ED1" s="335"/>
      <c r="EE1" s="335"/>
      <c r="EF1" s="332" t="s">
        <v>708</v>
      </c>
      <c r="EG1" s="332"/>
      <c r="EH1" s="332"/>
      <c r="EI1" s="332"/>
      <c r="EJ1" s="332"/>
      <c r="EK1" s="332"/>
      <c r="EL1" s="332"/>
      <c r="EM1" s="332"/>
      <c r="EN1" s="332"/>
    </row>
    <row r="2" spans="1:149" s="32" customFormat="1" ht="96">
      <c r="A2" s="1" t="s">
        <v>402</v>
      </c>
      <c r="B2" s="1" t="s">
        <v>401</v>
      </c>
      <c r="C2" s="1" t="s">
        <v>396</v>
      </c>
      <c r="D2" s="1" t="s">
        <v>397</v>
      </c>
      <c r="E2" s="1" t="s">
        <v>345</v>
      </c>
      <c r="F2" s="1" t="s">
        <v>346</v>
      </c>
      <c r="G2" s="63" t="s">
        <v>323</v>
      </c>
      <c r="H2" s="63" t="s">
        <v>641</v>
      </c>
      <c r="I2" s="63" t="s">
        <v>435</v>
      </c>
      <c r="J2" s="19" t="s">
        <v>419</v>
      </c>
      <c r="K2" s="19" t="s">
        <v>420</v>
      </c>
      <c r="L2" s="99" t="s">
        <v>33</v>
      </c>
      <c r="M2" s="15" t="s">
        <v>398</v>
      </c>
      <c r="N2" s="15" t="s">
        <v>399</v>
      </c>
      <c r="O2" s="52" t="s">
        <v>310</v>
      </c>
      <c r="P2" s="52" t="s">
        <v>311</v>
      </c>
      <c r="Q2" s="52" t="s">
        <v>312</v>
      </c>
      <c r="R2" s="64" t="s">
        <v>568</v>
      </c>
      <c r="S2" s="64" t="s">
        <v>171</v>
      </c>
      <c r="T2" s="52" t="s">
        <v>432</v>
      </c>
      <c r="U2" s="52" t="s">
        <v>433</v>
      </c>
      <c r="V2" s="52" t="s">
        <v>569</v>
      </c>
      <c r="W2" s="52" t="s">
        <v>172</v>
      </c>
      <c r="X2" s="19" t="s">
        <v>472</v>
      </c>
      <c r="Y2" s="20" t="s">
        <v>473</v>
      </c>
      <c r="Z2" s="4">
        <v>1</v>
      </c>
      <c r="AA2" s="4">
        <v>2</v>
      </c>
      <c r="AB2" s="4">
        <v>3</v>
      </c>
      <c r="AC2" s="4">
        <v>4</v>
      </c>
      <c r="AD2" s="4">
        <v>5</v>
      </c>
      <c r="AE2" s="4">
        <v>6</v>
      </c>
      <c r="AF2" s="4">
        <v>7</v>
      </c>
      <c r="AG2" s="4">
        <v>8</v>
      </c>
      <c r="AH2" s="4">
        <v>9</v>
      </c>
      <c r="AI2" s="4">
        <v>10</v>
      </c>
      <c r="AJ2" s="25" t="s">
        <v>410</v>
      </c>
      <c r="AK2" s="10" t="s">
        <v>411</v>
      </c>
      <c r="AL2" s="1" t="s">
        <v>412</v>
      </c>
      <c r="AM2" s="1" t="s">
        <v>413</v>
      </c>
      <c r="AN2" s="1" t="s">
        <v>414</v>
      </c>
      <c r="AO2" s="1" t="s">
        <v>467</v>
      </c>
      <c r="AP2" s="1" t="s">
        <v>415</v>
      </c>
      <c r="AQ2" s="1" t="s">
        <v>416</v>
      </c>
      <c r="AR2" s="1" t="s">
        <v>418</v>
      </c>
      <c r="AS2" s="1" t="s">
        <v>417</v>
      </c>
      <c r="AT2" s="1" t="s">
        <v>173</v>
      </c>
      <c r="AU2" s="1" t="s">
        <v>187</v>
      </c>
      <c r="AV2" s="1" t="s">
        <v>188</v>
      </c>
      <c r="AW2" s="1" t="s">
        <v>165</v>
      </c>
      <c r="AX2" s="1" t="s">
        <v>166</v>
      </c>
      <c r="AY2" s="32" t="s">
        <v>167</v>
      </c>
      <c r="AZ2" s="32" t="s">
        <v>168</v>
      </c>
      <c r="BA2" s="1" t="s">
        <v>570</v>
      </c>
      <c r="BB2" s="1" t="s">
        <v>571</v>
      </c>
      <c r="BC2" s="1" t="s">
        <v>283</v>
      </c>
      <c r="BD2" s="104" t="s">
        <v>11</v>
      </c>
      <c r="BE2" s="104" t="s">
        <v>12</v>
      </c>
      <c r="BF2" s="104" t="s">
        <v>313</v>
      </c>
      <c r="BG2" s="104" t="s">
        <v>314</v>
      </c>
      <c r="BH2" s="104" t="s">
        <v>687</v>
      </c>
      <c r="BI2" s="104" t="s">
        <v>316</v>
      </c>
      <c r="BJ2" s="104" t="s">
        <v>315</v>
      </c>
      <c r="BK2" s="104" t="s">
        <v>210</v>
      </c>
      <c r="BL2" s="1" t="s">
        <v>213</v>
      </c>
      <c r="BM2" s="1" t="s">
        <v>214</v>
      </c>
      <c r="BN2" s="104" t="s">
        <v>211</v>
      </c>
      <c r="BO2" s="1" t="s">
        <v>212</v>
      </c>
      <c r="BP2" s="106" t="s">
        <v>285</v>
      </c>
      <c r="BQ2" s="107" t="s">
        <v>286</v>
      </c>
      <c r="BR2" s="192" t="s">
        <v>287</v>
      </c>
      <c r="BS2" s="104" t="s">
        <v>637</v>
      </c>
      <c r="BT2" s="104" t="s">
        <v>317</v>
      </c>
      <c r="BU2" s="104" t="s">
        <v>638</v>
      </c>
      <c r="BV2" s="104" t="s">
        <v>553</v>
      </c>
      <c r="BW2" s="104" t="s">
        <v>639</v>
      </c>
      <c r="BX2" s="104" t="s">
        <v>640</v>
      </c>
      <c r="BY2" s="1" t="s">
        <v>213</v>
      </c>
      <c r="BZ2" s="1" t="s">
        <v>214</v>
      </c>
      <c r="CA2" s="104" t="s">
        <v>681</v>
      </c>
      <c r="CB2" s="1" t="s">
        <v>682</v>
      </c>
      <c r="CC2" s="106" t="s">
        <v>285</v>
      </c>
      <c r="CD2" s="107" t="s">
        <v>286</v>
      </c>
      <c r="CE2" s="192" t="s">
        <v>287</v>
      </c>
      <c r="CF2" s="104" t="s">
        <v>16</v>
      </c>
      <c r="CG2" s="104" t="s">
        <v>248</v>
      </c>
      <c r="CH2" s="104" t="s">
        <v>17</v>
      </c>
      <c r="CI2" s="104" t="s">
        <v>18</v>
      </c>
      <c r="CJ2" s="104" t="s">
        <v>19</v>
      </c>
      <c r="CK2" s="104" t="s">
        <v>20</v>
      </c>
      <c r="CL2" s="1" t="s">
        <v>249</v>
      </c>
      <c r="CM2" s="1" t="s">
        <v>250</v>
      </c>
      <c r="CN2" s="104" t="s">
        <v>21</v>
      </c>
      <c r="CO2" s="1" t="s">
        <v>22</v>
      </c>
      <c r="CP2" s="106" t="s">
        <v>285</v>
      </c>
      <c r="CQ2" s="107" t="s">
        <v>286</v>
      </c>
      <c r="CR2" s="192" t="s">
        <v>287</v>
      </c>
      <c r="CS2" s="104" t="s">
        <v>238</v>
      </c>
      <c r="CT2" s="104" t="s">
        <v>239</v>
      </c>
      <c r="CU2" s="104" t="s">
        <v>240</v>
      </c>
      <c r="CV2" s="104" t="s">
        <v>241</v>
      </c>
      <c r="CW2" s="104" t="s">
        <v>242</v>
      </c>
      <c r="CX2" s="104" t="s">
        <v>243</v>
      </c>
      <c r="CY2" s="1" t="s">
        <v>244</v>
      </c>
      <c r="CZ2" s="1" t="s">
        <v>245</v>
      </c>
      <c r="DA2" s="104" t="s">
        <v>246</v>
      </c>
      <c r="DB2" s="1" t="s">
        <v>247</v>
      </c>
      <c r="DC2" s="106" t="s">
        <v>285</v>
      </c>
      <c r="DD2" s="107" t="s">
        <v>286</v>
      </c>
      <c r="DE2" s="192" t="s">
        <v>287</v>
      </c>
      <c r="DF2" s="104" t="s">
        <v>226</v>
      </c>
      <c r="DG2" s="104" t="s">
        <v>227</v>
      </c>
      <c r="DH2" s="104" t="s">
        <v>228</v>
      </c>
      <c r="DI2" s="104" t="s">
        <v>229</v>
      </c>
      <c r="DJ2" s="104" t="s">
        <v>230</v>
      </c>
      <c r="DK2" s="104" t="s">
        <v>231</v>
      </c>
      <c r="DL2" s="1" t="s">
        <v>232</v>
      </c>
      <c r="DM2" s="1" t="s">
        <v>233</v>
      </c>
      <c r="DN2" s="104" t="s">
        <v>234</v>
      </c>
      <c r="DO2" s="1" t="s">
        <v>235</v>
      </c>
      <c r="DP2" s="106" t="s">
        <v>285</v>
      </c>
      <c r="DQ2" s="107" t="s">
        <v>286</v>
      </c>
      <c r="DR2" s="192" t="s">
        <v>287</v>
      </c>
      <c r="DS2" s="104" t="s">
        <v>226</v>
      </c>
      <c r="DT2" s="104" t="s">
        <v>227</v>
      </c>
      <c r="DU2" s="104" t="s">
        <v>228</v>
      </c>
      <c r="DV2" s="104" t="s">
        <v>229</v>
      </c>
      <c r="DW2" s="104" t="s">
        <v>230</v>
      </c>
      <c r="DX2" s="104" t="s">
        <v>231</v>
      </c>
      <c r="DY2" s="1" t="s">
        <v>232</v>
      </c>
      <c r="DZ2" s="1" t="s">
        <v>233</v>
      </c>
      <c r="EA2" s="104" t="s">
        <v>234</v>
      </c>
      <c r="EB2" s="1" t="s">
        <v>235</v>
      </c>
      <c r="EC2" s="106" t="s">
        <v>285</v>
      </c>
      <c r="ED2" s="107" t="s">
        <v>286</v>
      </c>
      <c r="EE2" s="192" t="s">
        <v>287</v>
      </c>
      <c r="EF2" s="104" t="s">
        <v>709</v>
      </c>
      <c r="EG2" s="104" t="s">
        <v>710</v>
      </c>
      <c r="EH2" s="1" t="s">
        <v>711</v>
      </c>
      <c r="EI2" s="1" t="s">
        <v>712</v>
      </c>
      <c r="EJ2" s="104" t="s">
        <v>713</v>
      </c>
      <c r="EK2" s="1" t="s">
        <v>714</v>
      </c>
      <c r="EL2" s="106" t="s">
        <v>285</v>
      </c>
      <c r="EM2" s="107" t="s">
        <v>286</v>
      </c>
      <c r="EN2" s="192" t="s">
        <v>287</v>
      </c>
      <c r="EO2" s="32" t="s">
        <v>201</v>
      </c>
      <c r="EP2" s="32" t="s">
        <v>202</v>
      </c>
      <c r="EQ2" s="32" t="s">
        <v>203</v>
      </c>
      <c r="ER2" s="32" t="s">
        <v>204</v>
      </c>
      <c r="ES2" s="32" t="s">
        <v>364</v>
      </c>
    </row>
    <row r="3" spans="1:149" s="8" customFormat="1" ht="13.5" customHeight="1">
      <c r="A3" s="8">
        <v>1</v>
      </c>
      <c r="B3" s="8">
        <v>1</v>
      </c>
      <c r="C3" s="8" t="s">
        <v>468</v>
      </c>
      <c r="D3" s="8" t="s">
        <v>633</v>
      </c>
      <c r="E3" s="8" t="s">
        <v>631</v>
      </c>
      <c r="F3" s="8" t="s">
        <v>357</v>
      </c>
      <c r="G3" s="70" t="s">
        <v>197</v>
      </c>
      <c r="H3" s="53" t="s">
        <v>694</v>
      </c>
      <c r="I3" s="53" t="s">
        <v>448</v>
      </c>
      <c r="J3" s="53" t="s">
        <v>716</v>
      </c>
      <c r="K3" s="53" t="s">
        <v>300</v>
      </c>
      <c r="L3" s="71" t="s">
        <v>301</v>
      </c>
      <c r="M3" s="54">
        <v>870</v>
      </c>
      <c r="N3" s="54">
        <v>725</v>
      </c>
      <c r="O3" s="54">
        <f>49</f>
        <v>49</v>
      </c>
      <c r="P3" s="54">
        <v>21</v>
      </c>
      <c r="Q3" s="54">
        <f aca="true" t="shared" si="0" ref="Q3:Q40">SUM(O3:P3)</f>
        <v>70</v>
      </c>
      <c r="R3" s="65">
        <v>850000</v>
      </c>
      <c r="S3" s="65">
        <v>680400</v>
      </c>
      <c r="T3" s="54">
        <f>S3*0.5</f>
        <v>340200</v>
      </c>
      <c r="U3" s="54">
        <f>S3*0.35</f>
        <v>238139.99999999997</v>
      </c>
      <c r="V3" s="54">
        <f aca="true" t="shared" si="1" ref="V3:V18">S3*0.15</f>
        <v>102060</v>
      </c>
      <c r="W3" s="54" t="s">
        <v>477</v>
      </c>
      <c r="X3" s="53" t="s">
        <v>634</v>
      </c>
      <c r="Y3" s="55">
        <v>38988</v>
      </c>
      <c r="Z3" s="3"/>
      <c r="AA3" s="3"/>
      <c r="AB3" s="3"/>
      <c r="AC3" s="3"/>
      <c r="AD3" s="3"/>
      <c r="AE3" s="3"/>
      <c r="AF3" s="3"/>
      <c r="AG3" s="3"/>
      <c r="AH3" s="3"/>
      <c r="AI3" s="3"/>
      <c r="AJ3" s="56">
        <v>38985</v>
      </c>
      <c r="AK3" s="57">
        <v>0.5638888888888889</v>
      </c>
      <c r="AL3" s="8" t="s">
        <v>476</v>
      </c>
      <c r="AM3" s="8" t="s">
        <v>477</v>
      </c>
      <c r="AN3" s="8" t="s">
        <v>477</v>
      </c>
      <c r="AO3" s="8" t="s">
        <v>477</v>
      </c>
      <c r="AP3" s="8">
        <v>12</v>
      </c>
      <c r="AQ3" s="8" t="s">
        <v>649</v>
      </c>
      <c r="AR3" s="8" t="s">
        <v>477</v>
      </c>
      <c r="AS3" s="8" t="s">
        <v>332</v>
      </c>
      <c r="AT3" s="8" t="s">
        <v>23</v>
      </c>
      <c r="AU3" s="61">
        <v>39171</v>
      </c>
      <c r="AV3" s="8">
        <v>1917</v>
      </c>
      <c r="AW3" s="8">
        <v>142</v>
      </c>
      <c r="AX3" s="56">
        <v>39225</v>
      </c>
      <c r="BA3" s="61">
        <v>39303</v>
      </c>
      <c r="BB3" s="103">
        <v>39358</v>
      </c>
      <c r="BC3" s="105">
        <v>18</v>
      </c>
      <c r="BD3" s="61">
        <v>39084</v>
      </c>
      <c r="BE3" s="182">
        <v>39629</v>
      </c>
      <c r="BF3" s="61" t="s">
        <v>70</v>
      </c>
      <c r="BG3" s="61" t="s">
        <v>98</v>
      </c>
      <c r="BH3" s="61" t="s">
        <v>384</v>
      </c>
      <c r="BI3" s="53" t="s">
        <v>334</v>
      </c>
      <c r="BJ3" s="130" t="s">
        <v>256</v>
      </c>
      <c r="BK3" s="58">
        <f>+S3*0.3</f>
        <v>204120</v>
      </c>
      <c r="BL3" s="58">
        <f>BK3*0.85</f>
        <v>173502</v>
      </c>
      <c r="BM3" s="58">
        <f>+BK3*0.15</f>
        <v>30618</v>
      </c>
      <c r="BN3" s="105">
        <v>347</v>
      </c>
      <c r="BO3" s="108">
        <v>39377</v>
      </c>
      <c r="BP3" s="79" t="s">
        <v>4</v>
      </c>
      <c r="BQ3" s="61">
        <v>39391</v>
      </c>
      <c r="BR3" s="193">
        <v>204120</v>
      </c>
      <c r="BS3" s="58">
        <v>202972.77</v>
      </c>
      <c r="BT3" s="61">
        <v>39566</v>
      </c>
      <c r="BU3" s="61">
        <v>39447</v>
      </c>
      <c r="BV3" s="61">
        <v>39500</v>
      </c>
      <c r="BW3" s="61">
        <v>39575</v>
      </c>
      <c r="BX3" s="65">
        <f>BS3*0.8</f>
        <v>162378.21600000001</v>
      </c>
      <c r="BY3" s="58">
        <f aca="true" t="shared" si="2" ref="BY3:BY10">BX3*0.85</f>
        <v>138021.4836</v>
      </c>
      <c r="BZ3" s="58">
        <f aca="true" t="shared" si="3" ref="BZ3:BZ10">+BX3*0.15</f>
        <v>24356.7324</v>
      </c>
      <c r="CA3" s="105">
        <v>146</v>
      </c>
      <c r="CB3" s="123">
        <v>39581</v>
      </c>
      <c r="CC3" s="33" t="s">
        <v>41</v>
      </c>
      <c r="CD3" s="61">
        <v>39612</v>
      </c>
      <c r="CE3" s="196">
        <v>162378.21600000001</v>
      </c>
      <c r="CF3" s="58">
        <v>468885.68</v>
      </c>
      <c r="CG3" s="61">
        <v>39658</v>
      </c>
      <c r="CH3" s="61">
        <v>39568</v>
      </c>
      <c r="CI3" s="61">
        <v>39594</v>
      </c>
      <c r="CJ3" s="61">
        <v>39666</v>
      </c>
      <c r="CK3" s="112">
        <v>279881.774</v>
      </c>
      <c r="CL3" s="58">
        <f aca="true" t="shared" si="4" ref="CL3:CL9">CK3*0.85</f>
        <v>237899.50789999997</v>
      </c>
      <c r="CM3" s="58">
        <f aca="true" t="shared" si="5" ref="CM3:CM9">+CK3*0.15</f>
        <v>41982.26609999999</v>
      </c>
      <c r="CN3" s="33">
        <v>339</v>
      </c>
      <c r="CO3" s="108">
        <v>39696</v>
      </c>
      <c r="CP3" s="105" t="s">
        <v>53</v>
      </c>
      <c r="CQ3" s="108">
        <v>39696</v>
      </c>
      <c r="CR3" s="195">
        <v>279881.774</v>
      </c>
      <c r="CS3" s="119">
        <v>177943.38</v>
      </c>
      <c r="CU3" s="275">
        <v>39706</v>
      </c>
      <c r="CV3" s="275">
        <v>39736</v>
      </c>
      <c r="CW3" s="61">
        <v>39755</v>
      </c>
      <c r="CX3" s="112"/>
      <c r="CY3" s="119">
        <f>CX3*0.85</f>
        <v>0</v>
      </c>
      <c r="CZ3" s="119">
        <f>+CX3*0.15</f>
        <v>0</v>
      </c>
      <c r="DE3" s="195"/>
      <c r="DF3" s="119"/>
      <c r="DI3" s="8" t="s">
        <v>715</v>
      </c>
      <c r="DK3" s="112">
        <v>33461.47</v>
      </c>
      <c r="DL3" s="119">
        <f>DK3*0.85</f>
        <v>28442.2495</v>
      </c>
      <c r="DM3" s="119">
        <f>+DK3*0.15</f>
        <v>5019.2205</v>
      </c>
      <c r="DN3" s="105">
        <v>671</v>
      </c>
      <c r="DO3" s="116">
        <v>40109</v>
      </c>
      <c r="DP3" s="311" t="s">
        <v>707</v>
      </c>
      <c r="DR3" s="197"/>
      <c r="DS3" s="119"/>
      <c r="DX3" s="112"/>
      <c r="DY3" s="119">
        <f>DX3*0.85</f>
        <v>0</v>
      </c>
      <c r="DZ3" s="119">
        <f aca="true" t="shared" si="6" ref="DZ3:DZ9">+DX3*0.15</f>
        <v>0</v>
      </c>
      <c r="EE3" s="197"/>
      <c r="EH3" s="8">
        <f>EG3*0.85</f>
        <v>0</v>
      </c>
      <c r="EI3" s="8">
        <f aca="true" t="shared" si="7" ref="EI3:EI18">+EG3*0.15</f>
        <v>0</v>
      </c>
      <c r="EO3" s="58">
        <f aca="true" t="shared" si="8" ref="EO3:EO18">BS3+CF3+CS3+DF3+DS3</f>
        <v>849801.83</v>
      </c>
      <c r="EP3" s="58">
        <f aca="true" t="shared" si="9" ref="EP3:EP18">BX3+CK3+CX3+DK3+DX3</f>
        <v>475721.45999999996</v>
      </c>
      <c r="EQ3" s="58">
        <v>204120</v>
      </c>
      <c r="ER3" s="58">
        <f aca="true" t="shared" si="10" ref="ER3:ER19">SUM(EP3:EQ3)</f>
        <v>679841.46</v>
      </c>
      <c r="ES3" s="317">
        <f>SPRINTER!C31</f>
        <v>558.527999999933</v>
      </c>
    </row>
    <row r="4" spans="1:149" s="109" customFormat="1" ht="13.5" customHeight="1">
      <c r="A4" s="109">
        <v>2</v>
      </c>
      <c r="B4" s="109">
        <v>3</v>
      </c>
      <c r="C4" s="109" t="s">
        <v>468</v>
      </c>
      <c r="D4" s="109" t="s">
        <v>652</v>
      </c>
      <c r="E4" s="109" t="s">
        <v>422</v>
      </c>
      <c r="F4" s="109" t="s">
        <v>423</v>
      </c>
      <c r="G4" s="72" t="s">
        <v>200</v>
      </c>
      <c r="H4" s="73"/>
      <c r="I4" s="73" t="s">
        <v>449</v>
      </c>
      <c r="J4" s="73" t="s">
        <v>131</v>
      </c>
      <c r="K4" s="73" t="s">
        <v>179</v>
      </c>
      <c r="L4" s="110" t="s">
        <v>34</v>
      </c>
      <c r="M4" s="111">
        <v>900</v>
      </c>
      <c r="N4" s="111">
        <v>720</v>
      </c>
      <c r="O4" s="111">
        <f>54</f>
        <v>54</v>
      </c>
      <c r="P4" s="111">
        <v>27</v>
      </c>
      <c r="Q4" s="111">
        <f t="shared" si="0"/>
        <v>81</v>
      </c>
      <c r="R4" s="112">
        <v>790000</v>
      </c>
      <c r="S4" s="112">
        <v>632000</v>
      </c>
      <c r="T4" s="111">
        <f aca="true" t="shared" si="11" ref="T4:T18">S4*0.5</f>
        <v>316000</v>
      </c>
      <c r="U4" s="111">
        <f aca="true" t="shared" si="12" ref="U4:U18">S4*0.35</f>
        <v>221200</v>
      </c>
      <c r="V4" s="111">
        <f t="shared" si="1"/>
        <v>94800</v>
      </c>
      <c r="W4" s="111" t="s">
        <v>477</v>
      </c>
      <c r="X4" s="73" t="s">
        <v>653</v>
      </c>
      <c r="Y4" s="55">
        <v>38980</v>
      </c>
      <c r="Z4" s="109" t="s">
        <v>686</v>
      </c>
      <c r="AA4" s="113"/>
      <c r="AB4" s="113"/>
      <c r="AC4" s="113"/>
      <c r="AD4" s="113"/>
      <c r="AE4" s="113"/>
      <c r="AF4" s="113"/>
      <c r="AG4" s="113"/>
      <c r="AH4" s="113"/>
      <c r="AI4" s="113"/>
      <c r="AJ4" s="114">
        <v>38975</v>
      </c>
      <c r="AK4" s="115">
        <v>0.7645833333333334</v>
      </c>
      <c r="AL4" s="109" t="s">
        <v>407</v>
      </c>
      <c r="AM4" s="109" t="s">
        <v>477</v>
      </c>
      <c r="AN4" s="109" t="s">
        <v>477</v>
      </c>
      <c r="AO4" s="109" t="s">
        <v>477</v>
      </c>
      <c r="AP4" s="109">
        <v>2</v>
      </c>
      <c r="AQ4" s="109" t="s">
        <v>140</v>
      </c>
      <c r="AR4" s="109" t="s">
        <v>477</v>
      </c>
      <c r="AS4" s="109" t="s">
        <v>117</v>
      </c>
      <c r="AT4" s="109" t="s">
        <v>10</v>
      </c>
      <c r="AU4" s="116">
        <v>39225</v>
      </c>
      <c r="AV4" s="109">
        <v>3168</v>
      </c>
      <c r="AW4" s="109">
        <v>143</v>
      </c>
      <c r="AX4" s="114">
        <v>39225</v>
      </c>
      <c r="BA4" s="116">
        <v>39293</v>
      </c>
      <c r="BB4" s="117">
        <v>39339</v>
      </c>
      <c r="BC4" s="118">
        <v>18</v>
      </c>
      <c r="BD4" s="61">
        <v>39083</v>
      </c>
      <c r="BE4" s="182">
        <v>39629</v>
      </c>
      <c r="BF4" s="116" t="s">
        <v>92</v>
      </c>
      <c r="BG4" s="116" t="s">
        <v>93</v>
      </c>
      <c r="BH4" s="116" t="s">
        <v>252</v>
      </c>
      <c r="BI4" s="73" t="s">
        <v>103</v>
      </c>
      <c r="BJ4" s="131" t="s">
        <v>257</v>
      </c>
      <c r="BK4" s="119">
        <f aca="true" t="shared" si="13" ref="BK4:BK18">+S4*0.3</f>
        <v>189600</v>
      </c>
      <c r="BL4" s="119">
        <f aca="true" t="shared" si="14" ref="BL4:BL18">BK4*0.85</f>
        <v>161160</v>
      </c>
      <c r="BM4" s="119">
        <f aca="true" t="shared" si="15" ref="BM4:BM18">+BK4*0.15</f>
        <v>28440</v>
      </c>
      <c r="BN4" s="105">
        <v>373</v>
      </c>
      <c r="BO4" s="108">
        <v>39386</v>
      </c>
      <c r="BP4" s="8" t="s">
        <v>8</v>
      </c>
      <c r="BQ4" s="61">
        <v>39406</v>
      </c>
      <c r="BR4" s="193">
        <v>189600</v>
      </c>
      <c r="BS4" s="119">
        <v>134012</v>
      </c>
      <c r="BT4" s="61">
        <v>39595</v>
      </c>
      <c r="BU4" s="61">
        <v>39447</v>
      </c>
      <c r="BV4" s="116">
        <v>39478</v>
      </c>
      <c r="BW4" s="61">
        <v>39594</v>
      </c>
      <c r="BX4" s="65">
        <f>BS4*0.8</f>
        <v>107209.6</v>
      </c>
      <c r="BY4" s="119">
        <f t="shared" si="2"/>
        <v>91128.16</v>
      </c>
      <c r="BZ4" s="119">
        <f t="shared" si="3"/>
        <v>16081.44</v>
      </c>
      <c r="CA4" s="105">
        <v>211</v>
      </c>
      <c r="CB4" s="123">
        <v>39604</v>
      </c>
      <c r="CC4" s="33" t="s">
        <v>42</v>
      </c>
      <c r="CD4" s="61">
        <v>39629</v>
      </c>
      <c r="CE4" s="196">
        <v>107209.6</v>
      </c>
      <c r="CF4" s="119">
        <v>22300</v>
      </c>
      <c r="CG4" s="61">
        <v>39616</v>
      </c>
      <c r="CH4" s="61">
        <v>39568</v>
      </c>
      <c r="CI4" s="61">
        <v>39589</v>
      </c>
      <c r="CJ4" s="61">
        <v>39624</v>
      </c>
      <c r="CK4" s="112">
        <f>CF4*0.8</f>
        <v>17840</v>
      </c>
      <c r="CL4" s="58">
        <f t="shared" si="4"/>
        <v>15164</v>
      </c>
      <c r="CM4" s="58">
        <f t="shared" si="5"/>
        <v>2676</v>
      </c>
      <c r="CN4" s="105">
        <v>245</v>
      </c>
      <c r="CO4" s="108">
        <v>39637</v>
      </c>
      <c r="CP4" s="105" t="s">
        <v>35</v>
      </c>
      <c r="CQ4" s="108">
        <v>39665</v>
      </c>
      <c r="CR4" s="195">
        <v>17840</v>
      </c>
      <c r="CS4" s="119">
        <v>121923.52</v>
      </c>
      <c r="CT4" s="116">
        <v>39629</v>
      </c>
      <c r="CU4" s="116">
        <v>39629</v>
      </c>
      <c r="CV4" s="116">
        <v>39589</v>
      </c>
      <c r="CW4" s="116">
        <v>39631</v>
      </c>
      <c r="CX4" s="112">
        <f>CS4*0.8</f>
        <v>97538.816</v>
      </c>
      <c r="CY4" s="119">
        <f>CX4*0.85</f>
        <v>82907.9936</v>
      </c>
      <c r="CZ4" s="119">
        <f>+CX4*0.15</f>
        <v>14630.822400000001</v>
      </c>
      <c r="DA4" s="105">
        <v>243</v>
      </c>
      <c r="DB4" s="108">
        <v>39637</v>
      </c>
      <c r="DC4" s="105" t="s">
        <v>37</v>
      </c>
      <c r="DD4" s="108">
        <v>39665</v>
      </c>
      <c r="DE4" s="195">
        <v>97538.816</v>
      </c>
      <c r="DF4" s="119">
        <v>118269.81</v>
      </c>
      <c r="DG4" s="116">
        <v>39702</v>
      </c>
      <c r="DH4" s="116">
        <v>39699</v>
      </c>
      <c r="DI4" s="116"/>
      <c r="DJ4" s="116">
        <v>39631</v>
      </c>
      <c r="DK4" s="112">
        <f>DF4*0.8</f>
        <v>94615.848</v>
      </c>
      <c r="DL4" s="119">
        <f>DK4*0.85</f>
        <v>80423.4708</v>
      </c>
      <c r="DM4" s="119">
        <f>+DK4*0.15</f>
        <v>14192.377199999999</v>
      </c>
      <c r="DN4" s="105">
        <v>348</v>
      </c>
      <c r="DO4" s="108">
        <v>39707</v>
      </c>
      <c r="DP4" s="108" t="s">
        <v>52</v>
      </c>
      <c r="DQ4" s="116">
        <v>39707</v>
      </c>
      <c r="DR4" s="119">
        <v>94615.848</v>
      </c>
      <c r="DS4" s="119">
        <v>128284.18</v>
      </c>
      <c r="DT4" s="116">
        <v>39729</v>
      </c>
      <c r="DU4" s="116">
        <v>39706</v>
      </c>
      <c r="DV4" s="116">
        <v>39736</v>
      </c>
      <c r="DW4" s="116">
        <v>39731</v>
      </c>
      <c r="DX4" s="112">
        <f>DS4*0.8</f>
        <v>102627.344</v>
      </c>
      <c r="DY4" s="119">
        <f>DX4*0.85</f>
        <v>87233.24239999999</v>
      </c>
      <c r="DZ4" s="119">
        <f t="shared" si="6"/>
        <v>15394.101599999998</v>
      </c>
      <c r="EA4" s="105">
        <v>437</v>
      </c>
      <c r="EB4" s="108">
        <v>39737</v>
      </c>
      <c r="EC4" s="108" t="s">
        <v>207</v>
      </c>
      <c r="ED4" s="116">
        <v>39749</v>
      </c>
      <c r="EE4" s="196">
        <v>102627.344</v>
      </c>
      <c r="EH4" s="109">
        <f>EG4*0.85</f>
        <v>0</v>
      </c>
      <c r="EI4" s="109">
        <f t="shared" si="7"/>
        <v>0</v>
      </c>
      <c r="EO4" s="58">
        <f t="shared" si="8"/>
        <v>524789.51</v>
      </c>
      <c r="EP4" s="58">
        <f t="shared" si="9"/>
        <v>419831.608</v>
      </c>
      <c r="EQ4" s="58">
        <v>189600</v>
      </c>
      <c r="ER4" s="58">
        <f t="shared" si="10"/>
        <v>609431.608</v>
      </c>
      <c r="ES4" s="58"/>
    </row>
    <row r="5" spans="1:149" s="109" customFormat="1" ht="14.25" customHeight="1">
      <c r="A5" s="109">
        <v>3</v>
      </c>
      <c r="B5" s="109">
        <v>4</v>
      </c>
      <c r="C5" s="109" t="s">
        <v>468</v>
      </c>
      <c r="D5" s="109" t="s">
        <v>617</v>
      </c>
      <c r="E5" s="109" t="s">
        <v>390</v>
      </c>
      <c r="F5" s="109" t="s">
        <v>391</v>
      </c>
      <c r="G5" s="72" t="s">
        <v>644</v>
      </c>
      <c r="H5" s="73"/>
      <c r="I5" s="73" t="s">
        <v>164</v>
      </c>
      <c r="J5" s="73" t="s">
        <v>118</v>
      </c>
      <c r="K5" s="73" t="s">
        <v>616</v>
      </c>
      <c r="L5" s="121" t="s">
        <v>192</v>
      </c>
      <c r="M5" s="111">
        <v>671.8</v>
      </c>
      <c r="N5" s="111">
        <v>537.44</v>
      </c>
      <c r="O5" s="111">
        <f>52</f>
        <v>52</v>
      </c>
      <c r="P5" s="111">
        <v>22</v>
      </c>
      <c r="Q5" s="111">
        <f t="shared" si="0"/>
        <v>74</v>
      </c>
      <c r="R5" s="112">
        <v>669390</v>
      </c>
      <c r="S5" s="112">
        <v>535512</v>
      </c>
      <c r="T5" s="111">
        <f t="shared" si="11"/>
        <v>267756</v>
      </c>
      <c r="U5" s="111">
        <f t="shared" si="12"/>
        <v>187429.19999999998</v>
      </c>
      <c r="V5" s="111">
        <f t="shared" si="1"/>
        <v>80326.8</v>
      </c>
      <c r="W5" s="111" t="s">
        <v>477</v>
      </c>
      <c r="X5" s="73" t="s">
        <v>618</v>
      </c>
      <c r="Y5" s="55">
        <v>38993</v>
      </c>
      <c r="Z5" s="113"/>
      <c r="AA5" s="113"/>
      <c r="AB5" s="113"/>
      <c r="AC5" s="113"/>
      <c r="AD5" s="113"/>
      <c r="AE5" s="113"/>
      <c r="AF5" s="113"/>
      <c r="AG5" s="113"/>
      <c r="AH5" s="113"/>
      <c r="AI5" s="113"/>
      <c r="AJ5" s="114">
        <v>38985</v>
      </c>
      <c r="AK5" s="115"/>
      <c r="AL5" s="109" t="s">
        <v>408</v>
      </c>
      <c r="AM5" s="109" t="s">
        <v>477</v>
      </c>
      <c r="AN5" s="109" t="s">
        <v>477</v>
      </c>
      <c r="AO5" s="109" t="s">
        <v>477</v>
      </c>
      <c r="AP5" s="109">
        <v>3</v>
      </c>
      <c r="AQ5" s="122" t="s">
        <v>272</v>
      </c>
      <c r="AR5" s="109" t="s">
        <v>477</v>
      </c>
      <c r="AS5" s="109" t="s">
        <v>332</v>
      </c>
      <c r="AT5" s="109" t="s">
        <v>27</v>
      </c>
      <c r="AU5" s="116">
        <v>39188</v>
      </c>
      <c r="AV5" s="109">
        <v>2135</v>
      </c>
      <c r="AW5" s="109">
        <v>144</v>
      </c>
      <c r="AX5" s="114">
        <v>39225</v>
      </c>
      <c r="BA5" s="116">
        <v>39343</v>
      </c>
      <c r="BB5" s="117">
        <v>39377</v>
      </c>
      <c r="BC5" s="118">
        <v>18</v>
      </c>
      <c r="BD5" s="61">
        <v>39083</v>
      </c>
      <c r="BE5" s="182">
        <v>39629</v>
      </c>
      <c r="BF5" s="116" t="s">
        <v>87</v>
      </c>
      <c r="BG5" s="116" t="s">
        <v>86</v>
      </c>
      <c r="BH5" s="116" t="s">
        <v>175</v>
      </c>
      <c r="BI5" s="73" t="s">
        <v>88</v>
      </c>
      <c r="BJ5" s="131" t="s">
        <v>258</v>
      </c>
      <c r="BK5" s="119">
        <f t="shared" si="13"/>
        <v>160653.6</v>
      </c>
      <c r="BL5" s="119">
        <f t="shared" si="14"/>
        <v>136555.56</v>
      </c>
      <c r="BM5" s="119">
        <f t="shared" si="15"/>
        <v>24098.04</v>
      </c>
      <c r="BN5" s="105">
        <v>413</v>
      </c>
      <c r="BO5" s="108">
        <v>39406</v>
      </c>
      <c r="BP5" s="8" t="s">
        <v>697</v>
      </c>
      <c r="BQ5" s="116">
        <v>39419</v>
      </c>
      <c r="BR5" s="193">
        <v>160653.6</v>
      </c>
      <c r="BS5" s="119">
        <v>32453.17</v>
      </c>
      <c r="BT5" s="61">
        <v>39575</v>
      </c>
      <c r="BU5" s="61">
        <v>39447</v>
      </c>
      <c r="BV5" s="61">
        <v>39479</v>
      </c>
      <c r="BW5" s="61">
        <v>39590</v>
      </c>
      <c r="BX5" s="112">
        <v>25962.535999999996</v>
      </c>
      <c r="BY5" s="119">
        <f t="shared" si="2"/>
        <v>22068.155599999995</v>
      </c>
      <c r="BZ5" s="119">
        <f t="shared" si="3"/>
        <v>3894.380399999999</v>
      </c>
      <c r="CA5" s="105">
        <v>210</v>
      </c>
      <c r="CB5" s="123">
        <v>39604</v>
      </c>
      <c r="CC5" s="33" t="s">
        <v>43</v>
      </c>
      <c r="CD5" s="61">
        <v>39629</v>
      </c>
      <c r="CE5" s="196">
        <v>25962.535999999996</v>
      </c>
      <c r="CF5" s="119">
        <v>58938.26</v>
      </c>
      <c r="CG5" s="61">
        <v>39603</v>
      </c>
      <c r="CH5" s="61">
        <v>39568</v>
      </c>
      <c r="CI5" s="61">
        <v>39598</v>
      </c>
      <c r="CJ5" s="61">
        <v>39616</v>
      </c>
      <c r="CK5" s="112">
        <v>47150.608</v>
      </c>
      <c r="CL5" s="58">
        <f t="shared" si="4"/>
        <v>40078.0168</v>
      </c>
      <c r="CM5" s="58">
        <f t="shared" si="5"/>
        <v>7072.5912</v>
      </c>
      <c r="CN5" s="118">
        <v>259</v>
      </c>
      <c r="CO5" s="108">
        <v>39644</v>
      </c>
      <c r="CP5" s="105" t="s">
        <v>59</v>
      </c>
      <c r="CQ5" s="108">
        <v>39665</v>
      </c>
      <c r="CR5" s="195">
        <v>47150.608</v>
      </c>
      <c r="CS5" s="119">
        <v>288755.91</v>
      </c>
      <c r="CT5" s="116">
        <v>39736</v>
      </c>
      <c r="CU5" s="275">
        <v>39706</v>
      </c>
      <c r="CV5" s="275">
        <v>39736</v>
      </c>
      <c r="CW5" s="116">
        <v>39742</v>
      </c>
      <c r="CX5" s="112">
        <v>55145.23439999996</v>
      </c>
      <c r="CY5" s="119">
        <f aca="true" t="shared" si="16" ref="CY5:CY18">CX5*0.85</f>
        <v>46873.449239999965</v>
      </c>
      <c r="CZ5" s="119">
        <f aca="true" t="shared" si="17" ref="CZ5:CZ18">+CX5*0.15</f>
        <v>8271.785159999994</v>
      </c>
      <c r="DA5" s="33">
        <v>479</v>
      </c>
      <c r="DB5" s="123">
        <v>39751</v>
      </c>
      <c r="DC5" s="108" t="s">
        <v>36</v>
      </c>
      <c r="DD5" s="123">
        <v>39765</v>
      </c>
      <c r="DE5" s="195">
        <v>55145.23439999996</v>
      </c>
      <c r="DF5" s="119">
        <v>51800</v>
      </c>
      <c r="DI5" s="109" t="s">
        <v>715</v>
      </c>
      <c r="DJ5" s="116">
        <v>39968</v>
      </c>
      <c r="DK5" s="112">
        <v>56645.893599999996</v>
      </c>
      <c r="DL5" s="119">
        <f aca="true" t="shared" si="18" ref="DL5:DL18">DK5*0.85</f>
        <v>48149.00956</v>
      </c>
      <c r="DM5" s="119">
        <f aca="true" t="shared" si="19" ref="DM5:DM18">+DK5*0.15</f>
        <v>8496.884039999999</v>
      </c>
      <c r="DN5" s="105">
        <v>386</v>
      </c>
      <c r="DO5" s="116">
        <v>39982</v>
      </c>
      <c r="DP5" s="33" t="s">
        <v>721</v>
      </c>
      <c r="DQ5" s="116">
        <v>39993</v>
      </c>
      <c r="DR5" s="119">
        <v>56645.893599999996</v>
      </c>
      <c r="DS5" s="119"/>
      <c r="DX5" s="112"/>
      <c r="DY5" s="119">
        <f aca="true" t="shared" si="20" ref="DY5:DY18">DX5*0.85</f>
        <v>0</v>
      </c>
      <c r="DZ5" s="119">
        <f t="shared" si="6"/>
        <v>0</v>
      </c>
      <c r="EE5" s="198"/>
      <c r="EH5" s="109">
        <f aca="true" t="shared" si="21" ref="EH5:EH18">EG5*0.85</f>
        <v>0</v>
      </c>
      <c r="EI5" s="109">
        <f t="shared" si="7"/>
        <v>0</v>
      </c>
      <c r="EO5" s="58">
        <f t="shared" si="8"/>
        <v>431947.33999999997</v>
      </c>
      <c r="EP5" s="58">
        <f t="shared" si="9"/>
        <v>184904.27199999994</v>
      </c>
      <c r="EQ5" s="58">
        <v>160653.6</v>
      </c>
      <c r="ER5" s="58">
        <f t="shared" si="10"/>
        <v>345557.872</v>
      </c>
      <c r="ES5" s="317">
        <f>DEMOS!C29</f>
        <v>189954.12800000003</v>
      </c>
    </row>
    <row r="6" spans="1:149" s="109" customFormat="1" ht="14.25" customHeight="1">
      <c r="A6" s="109">
        <v>4</v>
      </c>
      <c r="B6" s="109">
        <v>26</v>
      </c>
      <c r="C6" s="109" t="s">
        <v>468</v>
      </c>
      <c r="D6" s="109" t="s">
        <v>611</v>
      </c>
      <c r="E6" s="109" t="s">
        <v>356</v>
      </c>
      <c r="F6" s="109" t="s">
        <v>352</v>
      </c>
      <c r="G6" s="72" t="s">
        <v>197</v>
      </c>
      <c r="H6" s="73" t="s">
        <v>694</v>
      </c>
      <c r="I6" s="73" t="s">
        <v>442</v>
      </c>
      <c r="J6" s="73" t="s">
        <v>609</v>
      </c>
      <c r="K6" s="73" t="s">
        <v>610</v>
      </c>
      <c r="L6" s="124" t="s">
        <v>112</v>
      </c>
      <c r="M6" s="111">
        <v>937.5</v>
      </c>
      <c r="N6" s="111">
        <v>750</v>
      </c>
      <c r="O6" s="111">
        <f>46</f>
        <v>46</v>
      </c>
      <c r="P6" s="111">
        <v>19</v>
      </c>
      <c r="Q6" s="111">
        <f t="shared" si="0"/>
        <v>65</v>
      </c>
      <c r="R6" s="112">
        <v>789473</v>
      </c>
      <c r="S6" s="112">
        <v>631578.4</v>
      </c>
      <c r="T6" s="111">
        <f t="shared" si="11"/>
        <v>315789.2</v>
      </c>
      <c r="U6" s="111">
        <f t="shared" si="12"/>
        <v>221052.44</v>
      </c>
      <c r="V6" s="111">
        <f t="shared" si="1"/>
        <v>94736.76</v>
      </c>
      <c r="W6" s="111" t="s">
        <v>477</v>
      </c>
      <c r="X6" s="73" t="s">
        <v>612</v>
      </c>
      <c r="Y6" s="55">
        <v>38992</v>
      </c>
      <c r="Z6" s="113"/>
      <c r="AA6" s="113"/>
      <c r="AB6" s="113"/>
      <c r="AC6" s="113"/>
      <c r="AD6" s="113"/>
      <c r="AE6" s="113"/>
      <c r="AF6" s="113"/>
      <c r="AG6" s="113"/>
      <c r="AH6" s="113"/>
      <c r="AI6" s="113"/>
      <c r="AJ6" s="114">
        <v>38985</v>
      </c>
      <c r="AK6" s="115">
        <v>0.7493055555555556</v>
      </c>
      <c r="AL6" s="109" t="s">
        <v>476</v>
      </c>
      <c r="AM6" s="109" t="s">
        <v>477</v>
      </c>
      <c r="AN6" s="109" t="s">
        <v>477</v>
      </c>
      <c r="AO6" s="109" t="s">
        <v>477</v>
      </c>
      <c r="AP6" s="109">
        <v>4</v>
      </c>
      <c r="AQ6" s="109" t="s">
        <v>614</v>
      </c>
      <c r="AR6" s="109" t="s">
        <v>477</v>
      </c>
      <c r="AS6" s="109" t="s">
        <v>332</v>
      </c>
      <c r="AT6" s="109" t="s">
        <v>296</v>
      </c>
      <c r="AU6" s="116">
        <v>39170</v>
      </c>
      <c r="AV6" s="109">
        <v>1910</v>
      </c>
      <c r="AW6" s="109">
        <v>183</v>
      </c>
      <c r="AX6" s="114">
        <v>39248</v>
      </c>
      <c r="BA6" s="116">
        <v>39381</v>
      </c>
      <c r="BB6" s="117">
        <v>39392</v>
      </c>
      <c r="BC6" s="118">
        <v>18</v>
      </c>
      <c r="BD6" s="61">
        <v>39084</v>
      </c>
      <c r="BE6" s="182">
        <v>39629</v>
      </c>
      <c r="BF6" s="116" t="s">
        <v>70</v>
      </c>
      <c r="BG6" s="116" t="s">
        <v>98</v>
      </c>
      <c r="BH6" s="116" t="s">
        <v>39</v>
      </c>
      <c r="BI6" s="73" t="s">
        <v>335</v>
      </c>
      <c r="BJ6" s="131" t="s">
        <v>336</v>
      </c>
      <c r="BK6" s="119">
        <f t="shared" si="13"/>
        <v>189473.52</v>
      </c>
      <c r="BL6" s="119">
        <f t="shared" si="14"/>
        <v>161052.492</v>
      </c>
      <c r="BM6" s="119">
        <f t="shared" si="15"/>
        <v>28421.028</v>
      </c>
      <c r="BN6" s="118">
        <v>489</v>
      </c>
      <c r="BO6" s="123">
        <v>39429</v>
      </c>
      <c r="BP6" s="8" t="s">
        <v>297</v>
      </c>
      <c r="BQ6" s="116">
        <v>39435</v>
      </c>
      <c r="BR6" s="193">
        <v>189473.52</v>
      </c>
      <c r="BS6" s="119">
        <v>139767.66</v>
      </c>
      <c r="BT6" s="61">
        <v>39640</v>
      </c>
      <c r="BU6" s="61">
        <v>39568</v>
      </c>
      <c r="BV6" s="116">
        <v>39521</v>
      </c>
      <c r="BW6" s="61">
        <v>39645</v>
      </c>
      <c r="BX6" s="112">
        <v>111814.12800000001</v>
      </c>
      <c r="BY6" s="119">
        <f t="shared" si="2"/>
        <v>95042.00880000001</v>
      </c>
      <c r="BZ6" s="119">
        <f t="shared" si="3"/>
        <v>16772.1192</v>
      </c>
      <c r="CA6" s="118">
        <v>278</v>
      </c>
      <c r="CB6" s="108">
        <v>39652</v>
      </c>
      <c r="CC6" s="105" t="s">
        <v>61</v>
      </c>
      <c r="CD6" s="108">
        <v>39658</v>
      </c>
      <c r="CE6" s="196">
        <v>111814.12800000001</v>
      </c>
      <c r="CF6" s="119">
        <v>286445.38</v>
      </c>
      <c r="CG6" s="119" t="s">
        <v>218</v>
      </c>
      <c r="CH6" s="61">
        <v>39690</v>
      </c>
      <c r="CI6" s="61">
        <v>39605</v>
      </c>
      <c r="CJ6" s="116">
        <v>39727</v>
      </c>
      <c r="CK6" s="112">
        <v>229156.30399999997</v>
      </c>
      <c r="CL6" s="58">
        <f t="shared" si="4"/>
        <v>194782.85839999997</v>
      </c>
      <c r="CM6" s="58">
        <f t="shared" si="5"/>
        <v>34373.44559999999</v>
      </c>
      <c r="CN6" s="33">
        <v>401</v>
      </c>
      <c r="CO6" s="116">
        <v>39727</v>
      </c>
      <c r="CP6" s="105" t="s">
        <v>366</v>
      </c>
      <c r="CQ6" s="116">
        <v>39730</v>
      </c>
      <c r="CR6" s="195">
        <v>229156.30399999997</v>
      </c>
      <c r="CS6" s="119">
        <v>334397.1</v>
      </c>
      <c r="CT6" s="116">
        <v>39980</v>
      </c>
      <c r="CU6" s="270">
        <v>39706</v>
      </c>
      <c r="CV6" s="270">
        <v>39736</v>
      </c>
      <c r="CW6" s="116">
        <v>39980</v>
      </c>
      <c r="CX6" s="112">
        <v>54546.840800000005</v>
      </c>
      <c r="CY6" s="119">
        <f t="shared" si="16"/>
        <v>46364.81468</v>
      </c>
      <c r="CZ6" s="119">
        <f t="shared" si="17"/>
        <v>8182.02612</v>
      </c>
      <c r="DA6" s="33">
        <v>387</v>
      </c>
      <c r="DB6" s="116">
        <v>39982</v>
      </c>
      <c r="DC6" s="33" t="s">
        <v>720</v>
      </c>
      <c r="DD6" s="116">
        <v>39989</v>
      </c>
      <c r="DE6" s="119">
        <v>54546.840800000005</v>
      </c>
      <c r="DF6" s="119"/>
      <c r="DK6" s="112"/>
      <c r="DL6" s="119"/>
      <c r="DM6" s="119"/>
      <c r="DN6" s="312"/>
      <c r="DR6" s="198"/>
      <c r="DS6" s="119"/>
      <c r="DX6" s="112"/>
      <c r="DY6" s="119">
        <f t="shared" si="20"/>
        <v>0</v>
      </c>
      <c r="DZ6" s="119">
        <f t="shared" si="6"/>
        <v>0</v>
      </c>
      <c r="EE6" s="198"/>
      <c r="EH6" s="109">
        <f t="shared" si="21"/>
        <v>0</v>
      </c>
      <c r="EI6" s="109">
        <f t="shared" si="7"/>
        <v>0</v>
      </c>
      <c r="EO6" s="58">
        <f t="shared" si="8"/>
        <v>760610.14</v>
      </c>
      <c r="EP6" s="58">
        <f t="shared" si="9"/>
        <v>395517.2728</v>
      </c>
      <c r="EQ6" s="58">
        <v>189473.52</v>
      </c>
      <c r="ER6" s="58">
        <f t="shared" si="10"/>
        <v>584990.7927999999</v>
      </c>
      <c r="ES6" s="58"/>
    </row>
    <row r="7" spans="1:149" s="109" customFormat="1" ht="14.25" customHeight="1">
      <c r="A7" s="109">
        <v>5</v>
      </c>
      <c r="B7" s="109">
        <v>31</v>
      </c>
      <c r="C7" s="109" t="s">
        <v>468</v>
      </c>
      <c r="D7" s="109" t="s">
        <v>579</v>
      </c>
      <c r="E7" s="109" t="s">
        <v>360</v>
      </c>
      <c r="F7" s="109" t="s">
        <v>385</v>
      </c>
      <c r="G7" s="73" t="s">
        <v>196</v>
      </c>
      <c r="H7" s="73"/>
      <c r="I7" s="73" t="s">
        <v>444</v>
      </c>
      <c r="J7" s="73" t="s">
        <v>434</v>
      </c>
      <c r="K7" s="73" t="s">
        <v>578</v>
      </c>
      <c r="L7" s="169" t="s">
        <v>114</v>
      </c>
      <c r="M7" s="111">
        <v>935</v>
      </c>
      <c r="N7" s="111">
        <v>748</v>
      </c>
      <c r="O7" s="111">
        <f>60</f>
        <v>60</v>
      </c>
      <c r="P7" s="111">
        <v>34</v>
      </c>
      <c r="Q7" s="111">
        <f t="shared" si="0"/>
        <v>94</v>
      </c>
      <c r="R7" s="112">
        <v>935000</v>
      </c>
      <c r="S7" s="112">
        <v>747992</v>
      </c>
      <c r="T7" s="111">
        <f t="shared" si="11"/>
        <v>373996</v>
      </c>
      <c r="U7" s="111">
        <f t="shared" si="12"/>
        <v>261797.19999999998</v>
      </c>
      <c r="V7" s="111">
        <f t="shared" si="1"/>
        <v>112198.8</v>
      </c>
      <c r="W7" s="111" t="s">
        <v>477</v>
      </c>
      <c r="X7" s="73" t="s">
        <v>580</v>
      </c>
      <c r="Y7" s="55">
        <v>38992</v>
      </c>
      <c r="Z7" s="113"/>
      <c r="AA7" s="113"/>
      <c r="AB7" s="113"/>
      <c r="AC7" s="113"/>
      <c r="AD7" s="113"/>
      <c r="AE7" s="113"/>
      <c r="AF7" s="113"/>
      <c r="AG7" s="113"/>
      <c r="AH7" s="113"/>
      <c r="AI7" s="113"/>
      <c r="AJ7" s="114">
        <v>38985</v>
      </c>
      <c r="AK7" s="115">
        <v>0.6034722222222222</v>
      </c>
      <c r="AL7" s="109" t="s">
        <v>504</v>
      </c>
      <c r="AM7" s="109" t="s">
        <v>477</v>
      </c>
      <c r="AN7" s="109" t="s">
        <v>477</v>
      </c>
      <c r="AO7" s="109" t="s">
        <v>477</v>
      </c>
      <c r="AP7" s="109">
        <v>10</v>
      </c>
      <c r="AQ7" s="122" t="s">
        <v>581</v>
      </c>
      <c r="AR7" s="109" t="s">
        <v>477</v>
      </c>
      <c r="AS7" s="109" t="s">
        <v>169</v>
      </c>
      <c r="AT7" s="109" t="s">
        <v>32</v>
      </c>
      <c r="AU7" s="116">
        <v>39171</v>
      </c>
      <c r="AV7" s="109">
        <v>1918</v>
      </c>
      <c r="AW7" s="109">
        <v>146</v>
      </c>
      <c r="AX7" s="114">
        <v>39225</v>
      </c>
      <c r="BA7" s="116">
        <v>39351</v>
      </c>
      <c r="BB7" s="117">
        <v>39379</v>
      </c>
      <c r="BC7" s="118">
        <v>18</v>
      </c>
      <c r="BD7" s="116">
        <v>39084</v>
      </c>
      <c r="BE7" s="182">
        <v>39629</v>
      </c>
      <c r="BF7" s="116" t="s">
        <v>288</v>
      </c>
      <c r="BG7" s="116" t="s">
        <v>293</v>
      </c>
      <c r="BH7" s="116" t="s">
        <v>64</v>
      </c>
      <c r="BI7" s="73" t="s">
        <v>289</v>
      </c>
      <c r="BJ7" s="131" t="s">
        <v>290</v>
      </c>
      <c r="BK7" s="119">
        <f t="shared" si="13"/>
        <v>224397.6</v>
      </c>
      <c r="BL7" s="119">
        <f t="shared" si="14"/>
        <v>190737.96</v>
      </c>
      <c r="BM7" s="119">
        <f t="shared" si="15"/>
        <v>33659.64</v>
      </c>
      <c r="BN7" s="118">
        <v>380</v>
      </c>
      <c r="BO7" s="108">
        <v>39393</v>
      </c>
      <c r="BP7" s="8" t="s">
        <v>2</v>
      </c>
      <c r="BQ7" s="61">
        <v>39402</v>
      </c>
      <c r="BR7" s="194">
        <v>224397.6</v>
      </c>
      <c r="BS7" s="119">
        <v>93554.62</v>
      </c>
      <c r="BT7" s="61">
        <v>39639</v>
      </c>
      <c r="BU7" s="61">
        <v>39447</v>
      </c>
      <c r="BV7" s="116">
        <v>39477</v>
      </c>
      <c r="BW7" s="61">
        <v>39643</v>
      </c>
      <c r="BX7" s="112">
        <v>74843.696</v>
      </c>
      <c r="BY7" s="119">
        <f t="shared" si="2"/>
        <v>63617.141599999995</v>
      </c>
      <c r="BZ7" s="119">
        <f t="shared" si="3"/>
        <v>11226.554399999999</v>
      </c>
      <c r="CA7" s="118">
        <v>279</v>
      </c>
      <c r="CB7" s="108">
        <v>39652</v>
      </c>
      <c r="CC7" s="105" t="s">
        <v>63</v>
      </c>
      <c r="CD7" s="108">
        <v>39681</v>
      </c>
      <c r="CE7" s="196">
        <v>74843.696</v>
      </c>
      <c r="CF7" s="119"/>
      <c r="CG7" s="119"/>
      <c r="CH7" s="61">
        <v>39568</v>
      </c>
      <c r="CI7" s="61">
        <v>39608</v>
      </c>
      <c r="CJ7" s="116">
        <v>39736</v>
      </c>
      <c r="CK7" s="112"/>
      <c r="CL7" s="119">
        <f t="shared" si="4"/>
        <v>0</v>
      </c>
      <c r="CM7" s="119">
        <f t="shared" si="5"/>
        <v>0</v>
      </c>
      <c r="CN7" s="252" t="s">
        <v>338</v>
      </c>
      <c r="CO7" s="108"/>
      <c r="CP7" s="33"/>
      <c r="CQ7" s="61"/>
      <c r="CR7" s="195"/>
      <c r="CS7" s="119">
        <v>840753.13</v>
      </c>
      <c r="CT7" s="116">
        <v>39776</v>
      </c>
      <c r="CU7" s="275">
        <v>39706</v>
      </c>
      <c r="CV7" s="275">
        <v>39736</v>
      </c>
      <c r="CW7" s="61">
        <v>39786</v>
      </c>
      <c r="CX7" s="112">
        <v>410832.59400000004</v>
      </c>
      <c r="CY7" s="119">
        <f t="shared" si="16"/>
        <v>349207.7049</v>
      </c>
      <c r="CZ7" s="119">
        <f t="shared" si="17"/>
        <v>61624.8891</v>
      </c>
      <c r="DA7" s="120">
        <v>621</v>
      </c>
      <c r="DB7" s="123">
        <v>39791</v>
      </c>
      <c r="DC7" s="108" t="s">
        <v>700</v>
      </c>
      <c r="DD7" s="123">
        <v>39791</v>
      </c>
      <c r="DE7" s="195">
        <v>410832.59400000004</v>
      </c>
      <c r="DF7" s="119"/>
      <c r="DI7" s="109" t="s">
        <v>715</v>
      </c>
      <c r="DK7" s="112">
        <v>37276.310000000056</v>
      </c>
      <c r="DL7" s="119">
        <f t="shared" si="18"/>
        <v>31684.863500000047</v>
      </c>
      <c r="DM7" s="119">
        <f t="shared" si="19"/>
        <v>5591.446500000008</v>
      </c>
      <c r="DN7" s="105">
        <v>670</v>
      </c>
      <c r="DO7" s="116">
        <v>40109</v>
      </c>
      <c r="DP7" s="311" t="s">
        <v>707</v>
      </c>
      <c r="DR7" s="198"/>
      <c r="DS7" s="119"/>
      <c r="DX7" s="112"/>
      <c r="DY7" s="119">
        <f t="shared" si="20"/>
        <v>0</v>
      </c>
      <c r="DZ7" s="119">
        <f t="shared" si="6"/>
        <v>0</v>
      </c>
      <c r="EE7" s="198"/>
      <c r="EH7" s="109">
        <f t="shared" si="21"/>
        <v>0</v>
      </c>
      <c r="EI7" s="109">
        <f t="shared" si="7"/>
        <v>0</v>
      </c>
      <c r="EO7" s="58">
        <f t="shared" si="8"/>
        <v>934307.75</v>
      </c>
      <c r="EP7" s="58">
        <f t="shared" si="9"/>
        <v>522952.6000000001</v>
      </c>
      <c r="EQ7" s="58">
        <v>224397.6</v>
      </c>
      <c r="ER7" s="58">
        <f t="shared" si="10"/>
        <v>747350.2000000001</v>
      </c>
      <c r="ES7" s="317">
        <v>641.7999999999302</v>
      </c>
    </row>
    <row r="8" spans="1:149" s="8" customFormat="1" ht="14.25" customHeight="1">
      <c r="A8" s="8">
        <v>6</v>
      </c>
      <c r="B8" s="8">
        <v>32</v>
      </c>
      <c r="C8" s="8" t="s">
        <v>468</v>
      </c>
      <c r="D8" s="109" t="s">
        <v>471</v>
      </c>
      <c r="E8" s="8" t="s">
        <v>695</v>
      </c>
      <c r="F8" s="8" t="s">
        <v>696</v>
      </c>
      <c r="G8" s="53" t="s">
        <v>197</v>
      </c>
      <c r="H8" s="53"/>
      <c r="I8" s="53" t="s">
        <v>445</v>
      </c>
      <c r="J8" s="53" t="s">
        <v>108</v>
      </c>
      <c r="K8" s="53" t="s">
        <v>470</v>
      </c>
      <c r="L8" s="71" t="s">
        <v>69</v>
      </c>
      <c r="M8" s="54">
        <v>937.5</v>
      </c>
      <c r="N8" s="54">
        <v>750</v>
      </c>
      <c r="O8" s="54">
        <f>47</f>
        <v>47</v>
      </c>
      <c r="P8" s="54">
        <v>35</v>
      </c>
      <c r="Q8" s="54">
        <f t="shared" si="0"/>
        <v>82</v>
      </c>
      <c r="R8" s="65">
        <v>749473</v>
      </c>
      <c r="S8" s="65">
        <v>599578.4</v>
      </c>
      <c r="T8" s="54">
        <f t="shared" si="11"/>
        <v>299789.2</v>
      </c>
      <c r="U8" s="54">
        <f t="shared" si="12"/>
        <v>209852.44</v>
      </c>
      <c r="V8" s="54">
        <f t="shared" si="1"/>
        <v>89936.76</v>
      </c>
      <c r="W8" s="54" t="s">
        <v>477</v>
      </c>
      <c r="X8" s="70" t="s">
        <v>474</v>
      </c>
      <c r="Y8" s="55">
        <v>38992</v>
      </c>
      <c r="Z8" s="3"/>
      <c r="AA8" s="3"/>
      <c r="AB8" s="3"/>
      <c r="AC8" s="3"/>
      <c r="AD8" s="3"/>
      <c r="AE8" s="3"/>
      <c r="AF8" s="3"/>
      <c r="AG8" s="3"/>
      <c r="AH8" s="3"/>
      <c r="AI8" s="3"/>
      <c r="AJ8" s="56">
        <v>38985</v>
      </c>
      <c r="AK8" s="57">
        <v>0.5277777777777778</v>
      </c>
      <c r="AL8" s="8" t="s">
        <v>476</v>
      </c>
      <c r="AM8" s="8" t="s">
        <v>477</v>
      </c>
      <c r="AN8" s="8" t="s">
        <v>477</v>
      </c>
      <c r="AO8" s="8" t="s">
        <v>477</v>
      </c>
      <c r="AP8" s="8">
        <v>8</v>
      </c>
      <c r="AQ8" s="8" t="s">
        <v>478</v>
      </c>
      <c r="AR8" s="8" t="s">
        <v>477</v>
      </c>
      <c r="AS8" s="8" t="s">
        <v>332</v>
      </c>
      <c r="AT8" s="8" t="s">
        <v>269</v>
      </c>
      <c r="AU8" s="61">
        <v>39171</v>
      </c>
      <c r="AV8" s="8">
        <v>1916</v>
      </c>
      <c r="AW8" s="8">
        <v>145</v>
      </c>
      <c r="AX8" s="56">
        <v>39225</v>
      </c>
      <c r="BA8" s="61">
        <v>39275</v>
      </c>
      <c r="BB8" s="103">
        <v>39337</v>
      </c>
      <c r="BC8" s="105">
        <v>14</v>
      </c>
      <c r="BD8" s="61">
        <v>39204</v>
      </c>
      <c r="BE8" s="182">
        <v>39629</v>
      </c>
      <c r="BF8" s="61" t="s">
        <v>70</v>
      </c>
      <c r="BG8" s="61" t="s">
        <v>98</v>
      </c>
      <c r="BH8" s="61" t="s">
        <v>278</v>
      </c>
      <c r="BI8" s="53" t="s">
        <v>104</v>
      </c>
      <c r="BJ8" s="130" t="s">
        <v>259</v>
      </c>
      <c r="BK8" s="58">
        <f t="shared" si="13"/>
        <v>179873.52</v>
      </c>
      <c r="BL8" s="58">
        <f t="shared" si="14"/>
        <v>152892.492</v>
      </c>
      <c r="BM8" s="58">
        <f t="shared" si="15"/>
        <v>26981.028</v>
      </c>
      <c r="BN8" s="105">
        <v>317</v>
      </c>
      <c r="BO8" s="108">
        <v>39363</v>
      </c>
      <c r="BP8" s="8" t="s">
        <v>216</v>
      </c>
      <c r="BQ8" s="61">
        <v>39381</v>
      </c>
      <c r="BR8" s="193">
        <v>179873.52</v>
      </c>
      <c r="BS8" s="58">
        <v>164622.96</v>
      </c>
      <c r="BT8" s="61">
        <v>39482</v>
      </c>
      <c r="BU8" s="61">
        <v>39447</v>
      </c>
      <c r="BV8" s="61">
        <v>39482</v>
      </c>
      <c r="BW8" s="61">
        <v>39486</v>
      </c>
      <c r="BX8" s="65">
        <f>BS8*0.8</f>
        <v>131698.368</v>
      </c>
      <c r="BY8" s="58">
        <f t="shared" si="2"/>
        <v>111943.61279999999</v>
      </c>
      <c r="BZ8" s="58">
        <f t="shared" si="3"/>
        <v>19754.755199999996</v>
      </c>
      <c r="CA8" s="105">
        <v>52</v>
      </c>
      <c r="CB8" s="108">
        <v>39500</v>
      </c>
      <c r="CC8" s="33" t="s">
        <v>25</v>
      </c>
      <c r="CD8" s="61">
        <v>39527</v>
      </c>
      <c r="CE8" s="196">
        <v>131698.368</v>
      </c>
      <c r="CF8" s="58">
        <v>149840.72</v>
      </c>
      <c r="CG8" s="61">
        <v>39604</v>
      </c>
      <c r="CH8" s="61">
        <v>39568</v>
      </c>
      <c r="CI8" s="61">
        <v>39598</v>
      </c>
      <c r="CJ8" s="61">
        <v>39637</v>
      </c>
      <c r="CK8" s="112">
        <v>119872.57599999997</v>
      </c>
      <c r="CL8" s="58">
        <f t="shared" si="4"/>
        <v>101891.68959999997</v>
      </c>
      <c r="CM8" s="58">
        <f t="shared" si="5"/>
        <v>17980.886399999996</v>
      </c>
      <c r="CN8" s="118">
        <v>260</v>
      </c>
      <c r="CO8" s="108">
        <v>39644</v>
      </c>
      <c r="CP8" s="105" t="s">
        <v>60</v>
      </c>
      <c r="CQ8" s="108">
        <v>39667</v>
      </c>
      <c r="CR8" s="195">
        <v>119872.57599999997</v>
      </c>
      <c r="CS8" s="119">
        <v>389818.15</v>
      </c>
      <c r="CT8" s="116">
        <v>39736</v>
      </c>
      <c r="CU8" s="116">
        <v>39706</v>
      </c>
      <c r="CV8" s="116">
        <v>39736</v>
      </c>
      <c r="CW8" s="116">
        <v>39748</v>
      </c>
      <c r="CX8" s="112">
        <v>103809.72680000018</v>
      </c>
      <c r="CY8" s="119">
        <f t="shared" si="16"/>
        <v>88238.26778000015</v>
      </c>
      <c r="CZ8" s="119">
        <f t="shared" si="17"/>
        <v>15571.459020000026</v>
      </c>
      <c r="DA8" s="33">
        <v>478</v>
      </c>
      <c r="DB8" s="123">
        <v>39751</v>
      </c>
      <c r="DC8" s="108" t="s">
        <v>206</v>
      </c>
      <c r="DD8" s="123">
        <v>39770</v>
      </c>
      <c r="DE8" s="195">
        <v>103809.72680000018</v>
      </c>
      <c r="DF8" s="119">
        <v>42932.630000000005</v>
      </c>
      <c r="DG8" s="61">
        <v>39933</v>
      </c>
      <c r="DH8" s="61">
        <v>39902</v>
      </c>
      <c r="DI8" s="61">
        <v>39948</v>
      </c>
      <c r="DJ8" s="61">
        <v>39951</v>
      </c>
      <c r="DK8" s="112">
        <v>32628.798799999873</v>
      </c>
      <c r="DL8" s="119">
        <f t="shared" si="18"/>
        <v>27734.47897999989</v>
      </c>
      <c r="DM8" s="119">
        <f t="shared" si="19"/>
        <v>4894.319819999981</v>
      </c>
      <c r="DN8" s="33">
        <v>317</v>
      </c>
      <c r="DO8" s="108">
        <v>39954</v>
      </c>
      <c r="DP8" s="33" t="s">
        <v>722</v>
      </c>
      <c r="DQ8" s="61">
        <v>39979</v>
      </c>
      <c r="DR8" s="119">
        <v>32628.798799999873</v>
      </c>
      <c r="DS8" s="119"/>
      <c r="DV8" s="109" t="s">
        <v>715</v>
      </c>
      <c r="DX8" s="112">
        <v>29888.58</v>
      </c>
      <c r="DY8" s="119">
        <f t="shared" si="20"/>
        <v>25405.293</v>
      </c>
      <c r="DZ8" s="119">
        <f t="shared" si="6"/>
        <v>4483.287</v>
      </c>
      <c r="EA8" s="389" t="s">
        <v>728</v>
      </c>
      <c r="EE8" s="197"/>
      <c r="EH8" s="8">
        <f t="shared" si="21"/>
        <v>0</v>
      </c>
      <c r="EI8" s="8">
        <f t="shared" si="7"/>
        <v>0</v>
      </c>
      <c r="EO8" s="58">
        <f t="shared" si="8"/>
        <v>747214.4600000001</v>
      </c>
      <c r="EP8" s="58">
        <f t="shared" si="9"/>
        <v>417898.0496</v>
      </c>
      <c r="EQ8" s="58">
        <v>179873.52</v>
      </c>
      <c r="ER8" s="58">
        <f t="shared" si="10"/>
        <v>597771.5696</v>
      </c>
      <c r="ES8" s="58">
        <f>CUSTOS!C56</f>
        <v>1806.832000000053</v>
      </c>
    </row>
    <row r="9" spans="1:149" s="8" customFormat="1" ht="14.25" customHeight="1">
      <c r="A9" s="8">
        <v>7</v>
      </c>
      <c r="B9" s="8">
        <v>33</v>
      </c>
      <c r="C9" s="8" t="s">
        <v>468</v>
      </c>
      <c r="D9" s="109" t="s">
        <v>559</v>
      </c>
      <c r="E9" s="8" t="s">
        <v>556</v>
      </c>
      <c r="F9" s="8" t="s">
        <v>352</v>
      </c>
      <c r="G9" s="70" t="s">
        <v>197</v>
      </c>
      <c r="H9" s="70"/>
      <c r="I9" s="53" t="s">
        <v>446</v>
      </c>
      <c r="J9" s="53" t="s">
        <v>635</v>
      </c>
      <c r="K9" s="53" t="s">
        <v>558</v>
      </c>
      <c r="L9" s="102" t="s">
        <v>333</v>
      </c>
      <c r="M9" s="54">
        <v>950</v>
      </c>
      <c r="N9" s="54">
        <v>750</v>
      </c>
      <c r="O9" s="54">
        <f>58</f>
        <v>58</v>
      </c>
      <c r="P9" s="54">
        <v>34</v>
      </c>
      <c r="Q9" s="54">
        <f t="shared" si="0"/>
        <v>92</v>
      </c>
      <c r="R9" s="65">
        <v>784500</v>
      </c>
      <c r="S9" s="65">
        <v>627600</v>
      </c>
      <c r="T9" s="54">
        <f t="shared" si="11"/>
        <v>313800</v>
      </c>
      <c r="U9" s="54">
        <f t="shared" si="12"/>
        <v>219660</v>
      </c>
      <c r="V9" s="54">
        <f t="shared" si="1"/>
        <v>94140</v>
      </c>
      <c r="W9" s="54" t="s">
        <v>477</v>
      </c>
      <c r="X9" s="53" t="s">
        <v>560</v>
      </c>
      <c r="Y9" s="55">
        <v>38992</v>
      </c>
      <c r="Z9" s="31"/>
      <c r="AA9" s="31"/>
      <c r="AB9" s="31"/>
      <c r="AC9" s="31"/>
      <c r="AD9" s="31"/>
      <c r="AE9" s="31"/>
      <c r="AF9" s="31"/>
      <c r="AG9" s="31"/>
      <c r="AH9" s="31"/>
      <c r="AI9" s="31"/>
      <c r="AJ9" s="56">
        <v>38985</v>
      </c>
      <c r="AK9" s="57">
        <v>0.686111111111111</v>
      </c>
      <c r="AL9" s="8" t="s">
        <v>476</v>
      </c>
      <c r="AM9" s="8" t="s">
        <v>477</v>
      </c>
      <c r="AN9" s="8" t="s">
        <v>477</v>
      </c>
      <c r="AO9" s="8" t="s">
        <v>477</v>
      </c>
      <c r="AP9" s="8">
        <v>8</v>
      </c>
      <c r="AQ9" s="30" t="s">
        <v>561</v>
      </c>
      <c r="AR9" s="8" t="s">
        <v>477</v>
      </c>
      <c r="AS9" s="8" t="s">
        <v>332</v>
      </c>
      <c r="AT9" s="8" t="s">
        <v>281</v>
      </c>
      <c r="AU9" s="61">
        <v>39188</v>
      </c>
      <c r="AV9" s="8">
        <v>2145</v>
      </c>
      <c r="AW9" s="8">
        <v>148</v>
      </c>
      <c r="AX9" s="56">
        <v>39225</v>
      </c>
      <c r="BA9" s="61">
        <v>39279</v>
      </c>
      <c r="BB9" s="103">
        <v>39337</v>
      </c>
      <c r="BC9" s="105">
        <v>15</v>
      </c>
      <c r="BD9" s="61">
        <v>39174</v>
      </c>
      <c r="BE9" s="182">
        <v>39629</v>
      </c>
      <c r="BF9" s="61" t="s">
        <v>70</v>
      </c>
      <c r="BG9" s="61" t="s">
        <v>98</v>
      </c>
      <c r="BH9" s="61" t="s">
        <v>689</v>
      </c>
      <c r="BI9" s="53" t="s">
        <v>99</v>
      </c>
      <c r="BJ9" s="130" t="s">
        <v>260</v>
      </c>
      <c r="BK9" s="58">
        <f t="shared" si="13"/>
        <v>188280</v>
      </c>
      <c r="BL9" s="58">
        <f t="shared" si="14"/>
        <v>160038</v>
      </c>
      <c r="BM9" s="58">
        <f t="shared" si="15"/>
        <v>28242</v>
      </c>
      <c r="BN9" s="105">
        <v>346</v>
      </c>
      <c r="BO9" s="108">
        <v>39377</v>
      </c>
      <c r="BP9" s="129" t="s">
        <v>3</v>
      </c>
      <c r="BQ9" s="61">
        <v>39391</v>
      </c>
      <c r="BR9" s="193">
        <v>188280</v>
      </c>
      <c r="BS9" s="58"/>
      <c r="BT9" s="61">
        <v>39463</v>
      </c>
      <c r="BU9" s="61">
        <v>39294</v>
      </c>
      <c r="BV9" s="61">
        <v>39463</v>
      </c>
      <c r="BW9" s="165" t="s">
        <v>318</v>
      </c>
      <c r="BX9" s="65">
        <f>BS9*0.8</f>
        <v>0</v>
      </c>
      <c r="BY9" s="58">
        <f t="shared" si="2"/>
        <v>0</v>
      </c>
      <c r="BZ9" s="58">
        <f t="shared" si="3"/>
        <v>0</v>
      </c>
      <c r="CB9" s="108"/>
      <c r="CC9" s="129"/>
      <c r="CD9" s="61"/>
      <c r="CE9" s="196"/>
      <c r="CF9" s="58">
        <v>236320.4</v>
      </c>
      <c r="CG9" s="61">
        <v>39549</v>
      </c>
      <c r="CH9" s="61">
        <v>39416</v>
      </c>
      <c r="CI9" s="61">
        <v>39549</v>
      </c>
      <c r="CJ9" s="61">
        <v>39559</v>
      </c>
      <c r="CK9" s="112">
        <f>CF9*0.8</f>
        <v>189056.32</v>
      </c>
      <c r="CL9" s="58">
        <f t="shared" si="4"/>
        <v>160697.872</v>
      </c>
      <c r="CM9" s="58">
        <f t="shared" si="5"/>
        <v>28358.448</v>
      </c>
      <c r="CN9" s="105">
        <v>171</v>
      </c>
      <c r="CO9" s="108">
        <v>39583</v>
      </c>
      <c r="CP9" s="105" t="s">
        <v>46</v>
      </c>
      <c r="CQ9" s="108">
        <v>39611</v>
      </c>
      <c r="CR9" s="195">
        <v>189056.32</v>
      </c>
      <c r="CS9" s="119">
        <v>59681.64</v>
      </c>
      <c r="CT9" s="116">
        <v>39626</v>
      </c>
      <c r="CU9" s="116">
        <v>39538</v>
      </c>
      <c r="CV9" s="116">
        <v>39568</v>
      </c>
      <c r="CW9" s="116">
        <v>39659</v>
      </c>
      <c r="CX9" s="112">
        <v>47745.312000000005</v>
      </c>
      <c r="CY9" s="119">
        <f t="shared" si="16"/>
        <v>40583.5152</v>
      </c>
      <c r="CZ9" s="119">
        <f t="shared" si="17"/>
        <v>7161.796800000001</v>
      </c>
      <c r="DA9" s="33">
        <v>301</v>
      </c>
      <c r="DB9" s="108">
        <v>39661</v>
      </c>
      <c r="DC9" s="105" t="s">
        <v>51</v>
      </c>
      <c r="DD9" s="108">
        <v>39661</v>
      </c>
      <c r="DE9" s="195">
        <v>47745.312000000005</v>
      </c>
      <c r="DF9" s="119">
        <v>489336.53</v>
      </c>
      <c r="DG9" s="275">
        <v>39736</v>
      </c>
      <c r="DH9" s="275">
        <v>39706</v>
      </c>
      <c r="DI9" s="116">
        <v>39736</v>
      </c>
      <c r="DJ9" s="116">
        <v>39756</v>
      </c>
      <c r="DK9" s="112">
        <v>171138.3679999999</v>
      </c>
      <c r="DL9" s="119">
        <f t="shared" si="18"/>
        <v>145467.61279999992</v>
      </c>
      <c r="DM9" s="119">
        <f>+DK9*0.15</f>
        <v>25670.755199999985</v>
      </c>
      <c r="DN9" s="33">
        <v>521</v>
      </c>
      <c r="DO9" s="108">
        <v>39762</v>
      </c>
      <c r="DP9" s="103" t="s">
        <v>30</v>
      </c>
      <c r="DQ9" s="61">
        <v>39779</v>
      </c>
      <c r="DR9" s="119">
        <v>171138.3679999999</v>
      </c>
      <c r="DS9" s="119"/>
      <c r="DT9" s="116"/>
      <c r="DU9" s="116"/>
      <c r="DV9" s="109" t="s">
        <v>715</v>
      </c>
      <c r="DW9" s="116"/>
      <c r="DX9" s="112">
        <v>31380</v>
      </c>
      <c r="DY9" s="119">
        <f t="shared" si="20"/>
        <v>26673</v>
      </c>
      <c r="DZ9" s="119">
        <f t="shared" si="6"/>
        <v>4707</v>
      </c>
      <c r="EA9" s="105">
        <v>490</v>
      </c>
      <c r="EB9" s="108">
        <v>40016</v>
      </c>
      <c r="EC9" s="108" t="s">
        <v>727</v>
      </c>
      <c r="ED9" s="61">
        <v>40035</v>
      </c>
      <c r="EE9" s="196">
        <v>31379.99</v>
      </c>
      <c r="EH9" s="8">
        <f t="shared" si="21"/>
        <v>0</v>
      </c>
      <c r="EI9" s="8">
        <f t="shared" si="7"/>
        <v>0</v>
      </c>
      <c r="EO9" s="58">
        <f t="shared" si="8"/>
        <v>785338.5700000001</v>
      </c>
      <c r="EP9" s="58">
        <f t="shared" si="9"/>
        <v>439319.9999999999</v>
      </c>
      <c r="EQ9" s="58">
        <v>188280</v>
      </c>
      <c r="ER9" s="58">
        <f t="shared" si="10"/>
        <v>627599.9999999999</v>
      </c>
      <c r="ES9" s="58"/>
    </row>
    <row r="10" spans="1:149" s="8" customFormat="1" ht="14.25" customHeight="1">
      <c r="A10" s="8">
        <v>8</v>
      </c>
      <c r="B10" s="8">
        <v>35</v>
      </c>
      <c r="C10" s="8" t="s">
        <v>468</v>
      </c>
      <c r="D10" s="109" t="s">
        <v>566</v>
      </c>
      <c r="E10" s="8" t="s">
        <v>215</v>
      </c>
      <c r="F10" s="8" t="s">
        <v>329</v>
      </c>
      <c r="G10" s="53" t="s">
        <v>645</v>
      </c>
      <c r="H10" s="53" t="s">
        <v>646</v>
      </c>
      <c r="I10" s="53" t="s">
        <v>447</v>
      </c>
      <c r="J10" s="53" t="s">
        <v>119</v>
      </c>
      <c r="K10" s="53" t="s">
        <v>565</v>
      </c>
      <c r="L10" s="71" t="s">
        <v>109</v>
      </c>
      <c r="M10" s="54">
        <v>937.5</v>
      </c>
      <c r="N10" s="54">
        <v>750</v>
      </c>
      <c r="O10" s="54">
        <f>61</f>
        <v>61</v>
      </c>
      <c r="P10" s="54">
        <v>34</v>
      </c>
      <c r="Q10" s="54">
        <f t="shared" si="0"/>
        <v>95</v>
      </c>
      <c r="R10" s="65">
        <v>781000</v>
      </c>
      <c r="S10" s="65">
        <v>624800</v>
      </c>
      <c r="T10" s="54">
        <f t="shared" si="11"/>
        <v>312400</v>
      </c>
      <c r="U10" s="54">
        <f t="shared" si="12"/>
        <v>218680</v>
      </c>
      <c r="V10" s="54">
        <f t="shared" si="1"/>
        <v>93720</v>
      </c>
      <c r="W10" s="54" t="s">
        <v>477</v>
      </c>
      <c r="X10" s="53" t="s">
        <v>567</v>
      </c>
      <c r="Y10" s="55">
        <v>38992</v>
      </c>
      <c r="Z10" s="3"/>
      <c r="AA10" s="3"/>
      <c r="AB10" s="3"/>
      <c r="AC10" s="3"/>
      <c r="AD10" s="3"/>
      <c r="AE10" s="3"/>
      <c r="AF10" s="3"/>
      <c r="AG10" s="3"/>
      <c r="AH10" s="3"/>
      <c r="AI10" s="3"/>
      <c r="AJ10" s="56">
        <v>38985</v>
      </c>
      <c r="AK10" s="57">
        <v>0.6784722222222223</v>
      </c>
      <c r="AL10" s="8" t="s">
        <v>476</v>
      </c>
      <c r="AM10" s="8" t="s">
        <v>477</v>
      </c>
      <c r="AN10" s="8" t="s">
        <v>477</v>
      </c>
      <c r="AO10" s="8" t="s">
        <v>477</v>
      </c>
      <c r="AP10" s="8">
        <v>12</v>
      </c>
      <c r="AQ10" s="8" t="s">
        <v>572</v>
      </c>
      <c r="AR10" s="8" t="s">
        <v>477</v>
      </c>
      <c r="AS10" s="8" t="s">
        <v>332</v>
      </c>
      <c r="AT10" s="8" t="s">
        <v>270</v>
      </c>
      <c r="AU10" s="61">
        <v>39171</v>
      </c>
      <c r="AV10" s="8">
        <v>1914</v>
      </c>
      <c r="AW10" s="8">
        <v>147</v>
      </c>
      <c r="AX10" s="56">
        <v>39225</v>
      </c>
      <c r="BA10" s="61">
        <v>39274</v>
      </c>
      <c r="BB10" s="103">
        <v>39329</v>
      </c>
      <c r="BC10" s="105">
        <v>18</v>
      </c>
      <c r="BD10" s="61">
        <v>39083</v>
      </c>
      <c r="BE10" s="182">
        <v>39629</v>
      </c>
      <c r="BF10" s="61" t="s">
        <v>100</v>
      </c>
      <c r="BG10" s="61" t="s">
        <v>101</v>
      </c>
      <c r="BH10" s="61" t="s">
        <v>328</v>
      </c>
      <c r="BI10" s="53" t="s">
        <v>102</v>
      </c>
      <c r="BJ10" s="130" t="s">
        <v>261</v>
      </c>
      <c r="BK10" s="58">
        <f t="shared" si="13"/>
        <v>187440</v>
      </c>
      <c r="BL10" s="58">
        <f t="shared" si="14"/>
        <v>159324</v>
      </c>
      <c r="BM10" s="58">
        <f t="shared" si="15"/>
        <v>28116</v>
      </c>
      <c r="BN10" s="105">
        <v>318</v>
      </c>
      <c r="BO10" s="108">
        <v>39363</v>
      </c>
      <c r="BP10" s="8" t="s">
        <v>217</v>
      </c>
      <c r="BQ10" s="61">
        <v>39381</v>
      </c>
      <c r="BR10" s="193">
        <v>187440</v>
      </c>
      <c r="BS10" s="58">
        <v>178969.15</v>
      </c>
      <c r="BT10" s="61">
        <v>39644</v>
      </c>
      <c r="BU10" s="61">
        <v>39294</v>
      </c>
      <c r="BV10" s="61">
        <v>39497</v>
      </c>
      <c r="BW10" s="61">
        <v>39646</v>
      </c>
      <c r="BX10" s="65">
        <v>143175.32</v>
      </c>
      <c r="BY10" s="58">
        <f t="shared" si="2"/>
        <v>121699.022</v>
      </c>
      <c r="BZ10" s="58">
        <f t="shared" si="3"/>
        <v>21476.298</v>
      </c>
      <c r="CA10" s="118">
        <v>281</v>
      </c>
      <c r="CB10" s="108">
        <v>39652</v>
      </c>
      <c r="CC10" s="33" t="s">
        <v>44</v>
      </c>
      <c r="CD10" s="108">
        <v>39679</v>
      </c>
      <c r="CE10" s="196">
        <v>143175.32</v>
      </c>
      <c r="CG10" s="61"/>
      <c r="CH10" s="61">
        <v>39568</v>
      </c>
      <c r="CI10" s="61">
        <v>39609</v>
      </c>
      <c r="CK10" s="112"/>
      <c r="CP10" s="33"/>
      <c r="CR10" s="195"/>
      <c r="CS10" s="119">
        <v>589255.92</v>
      </c>
      <c r="CT10" s="116">
        <v>39737</v>
      </c>
      <c r="CU10" s="275">
        <v>39706</v>
      </c>
      <c r="CV10" s="275">
        <v>39736</v>
      </c>
      <c r="CW10" s="61">
        <v>39889</v>
      </c>
      <c r="CX10" s="112">
        <v>253235.73319999996</v>
      </c>
      <c r="CY10" s="119">
        <f t="shared" si="16"/>
        <v>215250.37321999995</v>
      </c>
      <c r="CZ10" s="119">
        <f t="shared" si="17"/>
        <v>37985.359979999994</v>
      </c>
      <c r="DA10" s="118">
        <v>118</v>
      </c>
      <c r="DB10" s="108">
        <v>39888</v>
      </c>
      <c r="DC10" s="33" t="s">
        <v>705</v>
      </c>
      <c r="DD10" s="61">
        <v>39888</v>
      </c>
      <c r="DE10" s="195">
        <v>253235.73319999996</v>
      </c>
      <c r="DF10" s="119"/>
      <c r="DI10" s="109" t="s">
        <v>715</v>
      </c>
      <c r="DK10" s="112">
        <v>30729.0028</v>
      </c>
      <c r="DL10" s="119">
        <f t="shared" si="18"/>
        <v>26119.65238</v>
      </c>
      <c r="DM10" s="119">
        <f t="shared" si="19"/>
        <v>4609.35042</v>
      </c>
      <c r="DN10" s="33">
        <v>476</v>
      </c>
      <c r="DO10" s="61">
        <v>40015</v>
      </c>
      <c r="DP10" s="103" t="s">
        <v>725</v>
      </c>
      <c r="DQ10" s="61">
        <v>40030</v>
      </c>
      <c r="DR10" s="119">
        <v>30729.0028</v>
      </c>
      <c r="DS10" s="119"/>
      <c r="DX10" s="112"/>
      <c r="DY10" s="119">
        <f t="shared" si="20"/>
        <v>0</v>
      </c>
      <c r="DZ10" s="119">
        <f aca="true" t="shared" si="22" ref="DZ10:DZ18">+DX10*0.15</f>
        <v>0</v>
      </c>
      <c r="EE10" s="197"/>
      <c r="EH10" s="8">
        <f t="shared" si="21"/>
        <v>0</v>
      </c>
      <c r="EI10" s="8">
        <f t="shared" si="7"/>
        <v>0</v>
      </c>
      <c r="EO10" s="58">
        <f t="shared" si="8"/>
        <v>768225.0700000001</v>
      </c>
      <c r="EP10" s="58">
        <f t="shared" si="9"/>
        <v>427140.056</v>
      </c>
      <c r="EQ10" s="58">
        <v>187440</v>
      </c>
      <c r="ER10" s="58">
        <f t="shared" si="10"/>
        <v>614580.056</v>
      </c>
      <c r="ES10" s="317">
        <v>10219.944000000018</v>
      </c>
    </row>
    <row r="11" spans="1:149" s="109" customFormat="1" ht="13.5" customHeight="1">
      <c r="A11" s="109">
        <v>9</v>
      </c>
      <c r="B11" s="109" t="s">
        <v>155</v>
      </c>
      <c r="C11" s="109" t="s">
        <v>480</v>
      </c>
      <c r="D11" s="109" t="s">
        <v>592</v>
      </c>
      <c r="E11" s="109" t="s">
        <v>426</v>
      </c>
      <c r="F11" s="109" t="s">
        <v>427</v>
      </c>
      <c r="G11" s="73" t="s">
        <v>200</v>
      </c>
      <c r="H11" s="73"/>
      <c r="I11" s="73" t="s">
        <v>436</v>
      </c>
      <c r="J11" s="73" t="s">
        <v>555</v>
      </c>
      <c r="K11" s="73" t="s">
        <v>180</v>
      </c>
      <c r="L11" s="110" t="s">
        <v>110</v>
      </c>
      <c r="M11" s="111">
        <v>937.5</v>
      </c>
      <c r="N11" s="111">
        <v>750</v>
      </c>
      <c r="O11" s="119">
        <f>54.15</f>
        <v>54.15</v>
      </c>
      <c r="P11" s="111">
        <v>28</v>
      </c>
      <c r="Q11" s="111">
        <f t="shared" si="0"/>
        <v>82.15</v>
      </c>
      <c r="R11" s="112">
        <v>857894</v>
      </c>
      <c r="S11" s="112">
        <v>686315.2</v>
      </c>
      <c r="T11" s="111">
        <f t="shared" si="11"/>
        <v>343157.6</v>
      </c>
      <c r="U11" s="111">
        <f t="shared" si="12"/>
        <v>240210.31999999998</v>
      </c>
      <c r="V11" s="111">
        <f t="shared" si="1"/>
        <v>102947.27999999998</v>
      </c>
      <c r="W11" s="111" t="s">
        <v>477</v>
      </c>
      <c r="X11" s="73" t="s">
        <v>593</v>
      </c>
      <c r="Y11" s="55">
        <v>38988</v>
      </c>
      <c r="Z11" s="109" t="s">
        <v>404</v>
      </c>
      <c r="AA11" s="113"/>
      <c r="AB11" s="113"/>
      <c r="AC11" s="113"/>
      <c r="AD11" s="113"/>
      <c r="AE11" s="113"/>
      <c r="AF11" s="113"/>
      <c r="AG11" s="113"/>
      <c r="AH11" s="113"/>
      <c r="AI11" s="113"/>
      <c r="AJ11" s="114">
        <v>38985</v>
      </c>
      <c r="AK11" s="115">
        <v>0.46458333333333335</v>
      </c>
      <c r="AL11" s="109" t="s">
        <v>476</v>
      </c>
      <c r="AM11" s="109" t="s">
        <v>477</v>
      </c>
      <c r="AN11" s="109" t="s">
        <v>477</v>
      </c>
      <c r="AO11" s="109" t="s">
        <v>477</v>
      </c>
      <c r="AP11" s="109">
        <v>5</v>
      </c>
      <c r="AQ11" s="109" t="s">
        <v>594</v>
      </c>
      <c r="AR11" s="109" t="s">
        <v>477</v>
      </c>
      <c r="AS11" s="109" t="s">
        <v>332</v>
      </c>
      <c r="AT11" s="109" t="s">
        <v>282</v>
      </c>
      <c r="AU11" s="116">
        <v>39174</v>
      </c>
      <c r="AV11" s="109">
        <v>1969</v>
      </c>
      <c r="AW11" s="109">
        <v>149</v>
      </c>
      <c r="AX11" s="114">
        <v>39225</v>
      </c>
      <c r="BA11" s="116">
        <v>39412</v>
      </c>
      <c r="BB11" s="117">
        <v>39405</v>
      </c>
      <c r="BC11" s="118">
        <v>18</v>
      </c>
      <c r="BD11" s="61">
        <v>39083</v>
      </c>
      <c r="BE11" s="182">
        <v>39629</v>
      </c>
      <c r="BF11" s="116" t="s">
        <v>92</v>
      </c>
      <c r="BG11" s="116" t="s">
        <v>93</v>
      </c>
      <c r="BH11" s="116" t="s">
        <v>307</v>
      </c>
      <c r="BI11" s="73" t="s">
        <v>94</v>
      </c>
      <c r="BJ11" s="131" t="s">
        <v>257</v>
      </c>
      <c r="BK11" s="119">
        <f t="shared" si="13"/>
        <v>205894.55999999997</v>
      </c>
      <c r="BL11" s="119">
        <f t="shared" si="14"/>
        <v>175010.37599999996</v>
      </c>
      <c r="BM11" s="119">
        <f t="shared" si="15"/>
        <v>30884.183999999994</v>
      </c>
      <c r="BN11" s="118">
        <v>488</v>
      </c>
      <c r="BO11" s="123">
        <v>39429</v>
      </c>
      <c r="BP11" s="79" t="s">
        <v>485</v>
      </c>
      <c r="BQ11" s="116">
        <v>39437</v>
      </c>
      <c r="BR11" s="193">
        <v>205894.56</v>
      </c>
      <c r="BS11" s="119">
        <v>231979.85</v>
      </c>
      <c r="BT11" s="61">
        <v>39545</v>
      </c>
      <c r="BU11" s="61">
        <v>39447</v>
      </c>
      <c r="BV11" s="61">
        <v>39493</v>
      </c>
      <c r="BW11" s="61">
        <v>39545</v>
      </c>
      <c r="BX11" s="112">
        <v>185583.88</v>
      </c>
      <c r="BY11" s="119">
        <f>BX11*0.85</f>
        <v>157746.298</v>
      </c>
      <c r="BZ11" s="119">
        <f>+BX11*0.15</f>
        <v>27837.582</v>
      </c>
      <c r="CA11" s="118">
        <v>130</v>
      </c>
      <c r="CB11" s="123">
        <v>39555</v>
      </c>
      <c r="CC11" s="33" t="s">
        <v>45</v>
      </c>
      <c r="CD11" s="116">
        <v>39589</v>
      </c>
      <c r="CE11" s="196">
        <v>185583.88</v>
      </c>
      <c r="CF11" s="119">
        <v>328527.2</v>
      </c>
      <c r="CG11" s="61">
        <v>39604</v>
      </c>
      <c r="CH11" s="61">
        <v>39568</v>
      </c>
      <c r="CI11" s="61">
        <v>39604</v>
      </c>
      <c r="CJ11" s="61">
        <v>39618</v>
      </c>
      <c r="CK11" s="112">
        <v>260521</v>
      </c>
      <c r="CL11" s="58">
        <f>CK11*0.85</f>
        <v>221442.85</v>
      </c>
      <c r="CM11" s="58">
        <f>+CK11*0.15</f>
        <v>39078.15</v>
      </c>
      <c r="CN11" s="105">
        <v>252</v>
      </c>
      <c r="CO11" s="108">
        <v>39637</v>
      </c>
      <c r="CP11" s="105" t="s">
        <v>57</v>
      </c>
      <c r="CQ11" s="108">
        <v>39665</v>
      </c>
      <c r="CR11" s="195">
        <v>260521</v>
      </c>
      <c r="CS11" s="119">
        <v>296796.39</v>
      </c>
      <c r="CU11" s="275">
        <v>39706</v>
      </c>
      <c r="CV11" s="275">
        <v>39736</v>
      </c>
      <c r="CW11" s="116">
        <v>39885</v>
      </c>
      <c r="CX11" s="112"/>
      <c r="CY11" s="119">
        <f t="shared" si="16"/>
        <v>0</v>
      </c>
      <c r="CZ11" s="119">
        <f t="shared" si="17"/>
        <v>0</v>
      </c>
      <c r="DE11" s="195"/>
      <c r="DF11" s="119"/>
      <c r="DK11" s="112"/>
      <c r="DL11" s="119">
        <f t="shared" si="18"/>
        <v>0</v>
      </c>
      <c r="DM11" s="119">
        <f t="shared" si="19"/>
        <v>0</v>
      </c>
      <c r="DR11" s="119"/>
      <c r="DS11" s="119"/>
      <c r="DX11" s="112"/>
      <c r="DY11" s="119">
        <f>DX11*0.85</f>
        <v>0</v>
      </c>
      <c r="DZ11" s="119">
        <f>+DX11*0.15</f>
        <v>0</v>
      </c>
      <c r="EE11" s="198"/>
      <c r="EH11" s="109">
        <f t="shared" si="21"/>
        <v>0</v>
      </c>
      <c r="EI11" s="109">
        <f t="shared" si="7"/>
        <v>0</v>
      </c>
      <c r="EO11" s="58">
        <f t="shared" si="8"/>
        <v>857303.4400000001</v>
      </c>
      <c r="EP11" s="58">
        <f t="shared" si="9"/>
        <v>446104.88</v>
      </c>
      <c r="EQ11" s="58">
        <v>205894.56</v>
      </c>
      <c r="ER11" s="58">
        <f t="shared" si="10"/>
        <v>651999.44</v>
      </c>
      <c r="ES11" s="58"/>
    </row>
    <row r="12" spans="1:149" s="8" customFormat="1" ht="13.5" customHeight="1">
      <c r="A12" s="8">
        <v>10</v>
      </c>
      <c r="B12" s="8">
        <v>15</v>
      </c>
      <c r="C12" s="8" t="s">
        <v>480</v>
      </c>
      <c r="D12" s="109" t="s">
        <v>629</v>
      </c>
      <c r="E12" s="8" t="s">
        <v>450</v>
      </c>
      <c r="F12" s="8" t="s">
        <v>387</v>
      </c>
      <c r="G12" s="70" t="s">
        <v>643</v>
      </c>
      <c r="H12" s="70" t="s">
        <v>642</v>
      </c>
      <c r="I12" s="70" t="s">
        <v>439</v>
      </c>
      <c r="J12" s="53" t="s">
        <v>627</v>
      </c>
      <c r="K12" s="53" t="s">
        <v>628</v>
      </c>
      <c r="L12" s="102" t="s">
        <v>113</v>
      </c>
      <c r="M12" s="54">
        <v>761.875</v>
      </c>
      <c r="N12" s="54">
        <v>609.5</v>
      </c>
      <c r="O12" s="54">
        <f>60.75</f>
        <v>60.75</v>
      </c>
      <c r="P12" s="54">
        <v>27</v>
      </c>
      <c r="Q12" s="54">
        <f t="shared" si="0"/>
        <v>87.75</v>
      </c>
      <c r="R12" s="65">
        <v>790468.75</v>
      </c>
      <c r="S12" s="65">
        <v>608375</v>
      </c>
      <c r="T12" s="54">
        <f t="shared" si="11"/>
        <v>304187.5</v>
      </c>
      <c r="U12" s="54">
        <f t="shared" si="12"/>
        <v>212931.25</v>
      </c>
      <c r="V12" s="54">
        <f t="shared" si="1"/>
        <v>91256.25</v>
      </c>
      <c r="W12" s="54" t="s">
        <v>477</v>
      </c>
      <c r="X12" s="53" t="s">
        <v>630</v>
      </c>
      <c r="Y12" s="55">
        <v>38988</v>
      </c>
      <c r="Z12" s="3"/>
      <c r="AA12" s="3"/>
      <c r="AB12" s="3"/>
      <c r="AC12" s="3"/>
      <c r="AD12" s="3"/>
      <c r="AE12" s="3"/>
      <c r="AF12" s="3"/>
      <c r="AG12" s="3"/>
      <c r="AH12" s="3"/>
      <c r="AI12" s="3"/>
      <c r="AJ12" s="56">
        <v>38985</v>
      </c>
      <c r="AK12" s="57">
        <v>0.5368055555555555</v>
      </c>
      <c r="AL12" s="8" t="s">
        <v>504</v>
      </c>
      <c r="AM12" s="8" t="s">
        <v>477</v>
      </c>
      <c r="AN12" s="8" t="s">
        <v>477</v>
      </c>
      <c r="AO12" s="8" t="s">
        <v>477</v>
      </c>
      <c r="AP12" s="8">
        <v>7</v>
      </c>
      <c r="AQ12" s="8" t="s">
        <v>128</v>
      </c>
      <c r="AR12" s="8" t="s">
        <v>477</v>
      </c>
      <c r="AS12" s="8" t="s">
        <v>159</v>
      </c>
      <c r="AT12" s="74" t="s">
        <v>28</v>
      </c>
      <c r="AU12" s="61">
        <v>39175</v>
      </c>
      <c r="AV12" s="8">
        <v>1986</v>
      </c>
      <c r="AW12" s="8">
        <v>150</v>
      </c>
      <c r="AX12" s="56">
        <v>39225</v>
      </c>
      <c r="BA12" s="61">
        <v>39290</v>
      </c>
      <c r="BB12" s="103">
        <v>39290</v>
      </c>
      <c r="BC12" s="105">
        <v>18</v>
      </c>
      <c r="BD12" s="61">
        <v>39083</v>
      </c>
      <c r="BE12" s="182">
        <v>39629</v>
      </c>
      <c r="BF12" s="61" t="s">
        <v>284</v>
      </c>
      <c r="BG12" s="61" t="s">
        <v>90</v>
      </c>
      <c r="BH12" s="61" t="s">
        <v>337</v>
      </c>
      <c r="BI12" s="53" t="s">
        <v>91</v>
      </c>
      <c r="BJ12" s="130" t="s">
        <v>262</v>
      </c>
      <c r="BK12" s="58">
        <f t="shared" si="13"/>
        <v>182512.5</v>
      </c>
      <c r="BL12" s="58">
        <f t="shared" si="14"/>
        <v>155135.625</v>
      </c>
      <c r="BM12" s="58">
        <f t="shared" si="15"/>
        <v>27376.875</v>
      </c>
      <c r="BN12" s="105">
        <v>319</v>
      </c>
      <c r="BO12" s="108">
        <v>39363</v>
      </c>
      <c r="BP12" s="8" t="s">
        <v>253</v>
      </c>
      <c r="BQ12" s="61">
        <v>39385</v>
      </c>
      <c r="BR12" s="193">
        <v>182512.5</v>
      </c>
      <c r="BS12" s="58">
        <f aca="true" t="shared" si="23" ref="BS12:BS17">+AA12*0.3</f>
        <v>0</v>
      </c>
      <c r="BT12" s="58"/>
      <c r="BU12" s="61">
        <v>39447</v>
      </c>
      <c r="BV12" s="61">
        <v>39486</v>
      </c>
      <c r="BW12" s="61"/>
      <c r="BX12" s="65"/>
      <c r="BY12" s="58">
        <f aca="true" t="shared" si="24" ref="BY12:BY17">BS12*0.85</f>
        <v>0</v>
      </c>
      <c r="BZ12" s="58">
        <f aca="true" t="shared" si="25" ref="BZ12:BZ17">+BS12*0.15</f>
        <v>0</v>
      </c>
      <c r="CA12" s="105"/>
      <c r="CB12" s="108"/>
      <c r="CD12" s="61"/>
      <c r="CE12" s="196"/>
      <c r="CF12" s="119">
        <v>472160.34</v>
      </c>
      <c r="CG12" s="61">
        <v>39639</v>
      </c>
      <c r="CH12" s="61">
        <v>39568</v>
      </c>
      <c r="CI12" s="61">
        <v>39605</v>
      </c>
      <c r="CJ12" s="61">
        <v>39665</v>
      </c>
      <c r="CK12" s="112">
        <v>377728.27199999994</v>
      </c>
      <c r="CL12" s="58">
        <f>CK12*0.85</f>
        <v>321069.03119999997</v>
      </c>
      <c r="CM12" s="58">
        <f>+CK12*0.15</f>
        <v>56659.24079999999</v>
      </c>
      <c r="CN12" s="33">
        <v>337</v>
      </c>
      <c r="CO12" s="108">
        <v>39696</v>
      </c>
      <c r="CP12" s="105" t="s">
        <v>50</v>
      </c>
      <c r="CQ12" s="108">
        <v>39696</v>
      </c>
      <c r="CR12" s="195">
        <v>377728.27199999994</v>
      </c>
      <c r="CS12" s="119">
        <v>315252.94</v>
      </c>
      <c r="CT12" s="116">
        <v>39783</v>
      </c>
      <c r="CU12" s="116">
        <v>39706</v>
      </c>
      <c r="CV12" s="116">
        <v>39736</v>
      </c>
      <c r="CW12" s="61">
        <v>39792</v>
      </c>
      <c r="CX12" s="112">
        <v>17715.47800000012</v>
      </c>
      <c r="CY12" s="119">
        <f t="shared" si="16"/>
        <v>15058.1563000001</v>
      </c>
      <c r="CZ12" s="119">
        <f t="shared" si="17"/>
        <v>2657.3217000000177</v>
      </c>
      <c r="DA12" s="33">
        <v>678</v>
      </c>
      <c r="DB12" s="108">
        <v>39805</v>
      </c>
      <c r="DC12" s="290" t="s">
        <v>699</v>
      </c>
      <c r="DD12" s="290">
        <v>39805</v>
      </c>
      <c r="DE12" s="195">
        <v>17715.47800000012</v>
      </c>
      <c r="DF12" s="119"/>
      <c r="DI12" s="109" t="s">
        <v>715</v>
      </c>
      <c r="DK12" s="112">
        <v>30418.75</v>
      </c>
      <c r="DL12" s="119">
        <f t="shared" si="18"/>
        <v>25855.9375</v>
      </c>
      <c r="DM12" s="119">
        <f t="shared" si="19"/>
        <v>4562.8125</v>
      </c>
      <c r="DN12" s="33">
        <v>441</v>
      </c>
      <c r="DO12" s="61">
        <v>39994</v>
      </c>
      <c r="DP12" s="103" t="s">
        <v>724</v>
      </c>
      <c r="DQ12" s="61">
        <v>40051</v>
      </c>
      <c r="DR12" s="119">
        <v>30418.74</v>
      </c>
      <c r="DS12" s="119"/>
      <c r="DX12" s="112"/>
      <c r="DY12" s="119">
        <f t="shared" si="20"/>
        <v>0</v>
      </c>
      <c r="DZ12" s="119">
        <f t="shared" si="22"/>
        <v>0</v>
      </c>
      <c r="EE12" s="197"/>
      <c r="EH12" s="8">
        <f t="shared" si="21"/>
        <v>0</v>
      </c>
      <c r="EI12" s="8">
        <f t="shared" si="7"/>
        <v>0</v>
      </c>
      <c r="EO12" s="58">
        <f t="shared" si="8"/>
        <v>787413.28</v>
      </c>
      <c r="EP12" s="58">
        <f t="shared" si="9"/>
        <v>425862.50000000006</v>
      </c>
      <c r="EQ12" s="58">
        <v>182512.5</v>
      </c>
      <c r="ER12" s="58">
        <f t="shared" si="10"/>
        <v>608375</v>
      </c>
      <c r="ES12" s="58"/>
    </row>
    <row r="13" spans="1:149" s="8" customFormat="1" ht="14.25" customHeight="1">
      <c r="A13" s="8">
        <v>11</v>
      </c>
      <c r="B13" s="8">
        <v>20</v>
      </c>
      <c r="C13" s="8" t="s">
        <v>480</v>
      </c>
      <c r="D13" s="109" t="s">
        <v>495</v>
      </c>
      <c r="E13" s="8" t="s">
        <v>491</v>
      </c>
      <c r="F13" s="8" t="s">
        <v>29</v>
      </c>
      <c r="G13" s="70" t="s">
        <v>647</v>
      </c>
      <c r="H13" s="53"/>
      <c r="I13" s="53" t="s">
        <v>440</v>
      </c>
      <c r="J13" s="53" t="s">
        <v>493</v>
      </c>
      <c r="K13" s="53" t="s">
        <v>494</v>
      </c>
      <c r="L13" s="71" t="s">
        <v>67</v>
      </c>
      <c r="M13" s="54">
        <v>879.49</v>
      </c>
      <c r="N13" s="54">
        <v>703.59</v>
      </c>
      <c r="O13" s="54">
        <f>53.4</f>
        <v>53.4</v>
      </c>
      <c r="P13" s="54">
        <v>17</v>
      </c>
      <c r="Q13" s="54">
        <f t="shared" si="0"/>
        <v>70.4</v>
      </c>
      <c r="R13" s="65">
        <v>879450</v>
      </c>
      <c r="S13" s="65">
        <v>703560</v>
      </c>
      <c r="T13" s="54">
        <f t="shared" si="11"/>
        <v>351780</v>
      </c>
      <c r="U13" s="54">
        <f t="shared" si="12"/>
        <v>246245.99999999997</v>
      </c>
      <c r="V13" s="54">
        <f t="shared" si="1"/>
        <v>105534</v>
      </c>
      <c r="W13" s="54" t="s">
        <v>477</v>
      </c>
      <c r="X13" s="53" t="s">
        <v>496</v>
      </c>
      <c r="Y13" s="55">
        <v>38988</v>
      </c>
      <c r="Z13" s="8" t="s">
        <v>405</v>
      </c>
      <c r="AA13" s="3"/>
      <c r="AB13" s="3"/>
      <c r="AC13" s="3"/>
      <c r="AD13" s="3"/>
      <c r="AE13" s="3"/>
      <c r="AF13" s="3"/>
      <c r="AG13" s="3"/>
      <c r="AH13" s="3"/>
      <c r="AI13" s="3"/>
      <c r="AJ13" s="56">
        <v>38985</v>
      </c>
      <c r="AK13" s="57">
        <v>0.6625</v>
      </c>
      <c r="AL13" s="8" t="s">
        <v>498</v>
      </c>
      <c r="AM13" s="8" t="s">
        <v>477</v>
      </c>
      <c r="AN13" s="8" t="s">
        <v>477</v>
      </c>
      <c r="AO13" s="8" t="s">
        <v>477</v>
      </c>
      <c r="AP13" s="8">
        <v>3</v>
      </c>
      <c r="AQ13" s="30" t="s">
        <v>499</v>
      </c>
      <c r="AR13" s="8" t="s">
        <v>477</v>
      </c>
      <c r="AS13" s="8" t="s">
        <v>130</v>
      </c>
      <c r="AT13" s="8" t="s">
        <v>280</v>
      </c>
      <c r="AU13" s="61">
        <v>39171</v>
      </c>
      <c r="AV13" s="8">
        <v>1912</v>
      </c>
      <c r="AW13" s="8">
        <v>151</v>
      </c>
      <c r="AX13" s="56">
        <v>39225</v>
      </c>
      <c r="BA13" s="61">
        <v>39275</v>
      </c>
      <c r="BB13" s="103">
        <v>39290</v>
      </c>
      <c r="BC13" s="105">
        <v>18</v>
      </c>
      <c r="BD13" s="61">
        <v>39084</v>
      </c>
      <c r="BE13" s="182">
        <v>39629</v>
      </c>
      <c r="BF13" s="61" t="s">
        <v>160</v>
      </c>
      <c r="BG13" s="61" t="s">
        <v>161</v>
      </c>
      <c r="BH13" s="61" t="s">
        <v>403</v>
      </c>
      <c r="BI13" s="53" t="s">
        <v>162</v>
      </c>
      <c r="BJ13" s="130" t="s">
        <v>163</v>
      </c>
      <c r="BK13" s="58">
        <f t="shared" si="13"/>
        <v>211068</v>
      </c>
      <c r="BL13" s="58">
        <f t="shared" si="14"/>
        <v>179407.8</v>
      </c>
      <c r="BM13" s="58">
        <f t="shared" si="15"/>
        <v>31660.199999999997</v>
      </c>
      <c r="BN13" s="105">
        <v>349</v>
      </c>
      <c r="BO13" s="108">
        <v>39377</v>
      </c>
      <c r="BP13" s="79" t="s">
        <v>5</v>
      </c>
      <c r="BQ13" s="61">
        <v>39391</v>
      </c>
      <c r="BR13" s="193">
        <v>211068</v>
      </c>
      <c r="BS13" s="58">
        <v>172738.82</v>
      </c>
      <c r="BT13" s="61">
        <v>39504</v>
      </c>
      <c r="BU13" s="61">
        <v>39447</v>
      </c>
      <c r="BV13" s="61">
        <v>39504</v>
      </c>
      <c r="BW13" s="61">
        <v>39644</v>
      </c>
      <c r="BX13" s="65">
        <v>138191.056</v>
      </c>
      <c r="BY13" s="58">
        <f>BX13*0.85</f>
        <v>117462.39760000001</v>
      </c>
      <c r="BZ13" s="58">
        <f>+BX13*0.15</f>
        <v>20728.6584</v>
      </c>
      <c r="CA13" s="118">
        <v>280</v>
      </c>
      <c r="CB13" s="108">
        <v>39652</v>
      </c>
      <c r="CC13" s="105" t="s">
        <v>62</v>
      </c>
      <c r="CD13" s="108">
        <v>39679</v>
      </c>
      <c r="CE13" s="196">
        <v>138191.056</v>
      </c>
      <c r="CF13" s="119">
        <v>413708.17</v>
      </c>
      <c r="CG13" s="253" t="s">
        <v>367</v>
      </c>
      <c r="CH13" s="61">
        <v>39568</v>
      </c>
      <c r="CI13" s="61">
        <v>39612</v>
      </c>
      <c r="CJ13" s="116">
        <v>39738</v>
      </c>
      <c r="CK13" s="112">
        <v>319122.94599999994</v>
      </c>
      <c r="CL13" s="58">
        <f>CK13*0.85</f>
        <v>271254.50409999996</v>
      </c>
      <c r="CM13" s="58">
        <f>+CK13*0.15</f>
        <v>47868.44189999999</v>
      </c>
      <c r="CN13" s="33">
        <v>110</v>
      </c>
      <c r="CO13" s="61">
        <v>39883</v>
      </c>
      <c r="CP13" s="33" t="s">
        <v>704</v>
      </c>
      <c r="CQ13" s="108">
        <v>39883</v>
      </c>
      <c r="CR13" s="195">
        <v>319122.94599999994</v>
      </c>
      <c r="CS13" s="119">
        <v>146755.92</v>
      </c>
      <c r="CU13" s="275">
        <v>39706</v>
      </c>
      <c r="CV13" s="275">
        <v>39736</v>
      </c>
      <c r="CW13" s="61">
        <v>39876</v>
      </c>
      <c r="CX13" s="112"/>
      <c r="CY13" s="119">
        <f t="shared" si="16"/>
        <v>0</v>
      </c>
      <c r="CZ13" s="119">
        <f t="shared" si="17"/>
        <v>0</v>
      </c>
      <c r="DD13" s="33"/>
      <c r="DE13" s="195"/>
      <c r="DF13" s="119"/>
      <c r="DK13" s="112"/>
      <c r="DL13" s="119"/>
      <c r="DM13" s="119"/>
      <c r="DR13" s="197"/>
      <c r="DS13" s="119"/>
      <c r="DX13" s="112"/>
      <c r="DY13" s="119">
        <f t="shared" si="20"/>
        <v>0</v>
      </c>
      <c r="DZ13" s="119">
        <f t="shared" si="22"/>
        <v>0</v>
      </c>
      <c r="EE13" s="197"/>
      <c r="EH13" s="8">
        <f t="shared" si="21"/>
        <v>0</v>
      </c>
      <c r="EI13" s="8">
        <f t="shared" si="7"/>
        <v>0</v>
      </c>
      <c r="EO13" s="58">
        <f t="shared" si="8"/>
        <v>733202.91</v>
      </c>
      <c r="EP13" s="58">
        <f t="shared" si="9"/>
        <v>457314.002</v>
      </c>
      <c r="EQ13" s="58">
        <v>211068</v>
      </c>
      <c r="ER13" s="58">
        <f t="shared" si="10"/>
        <v>668382.002</v>
      </c>
      <c r="ES13" s="58"/>
    </row>
    <row r="14" spans="1:149" s="109" customFormat="1" ht="14.25" customHeight="1">
      <c r="A14" s="109">
        <v>12</v>
      </c>
      <c r="B14" s="109">
        <v>21</v>
      </c>
      <c r="C14" s="109" t="s">
        <v>480</v>
      </c>
      <c r="D14" s="109" t="s">
        <v>606</v>
      </c>
      <c r="E14" s="109" t="s">
        <v>265</v>
      </c>
      <c r="F14" s="109" t="s">
        <v>352</v>
      </c>
      <c r="G14" s="73" t="s">
        <v>198</v>
      </c>
      <c r="H14" s="73"/>
      <c r="I14" s="73" t="s">
        <v>441</v>
      </c>
      <c r="J14" s="125" t="s">
        <v>554</v>
      </c>
      <c r="K14" s="73" t="s">
        <v>552</v>
      </c>
      <c r="L14" s="110" t="s">
        <v>111</v>
      </c>
      <c r="M14" s="111">
        <v>937.5</v>
      </c>
      <c r="N14" s="111">
        <v>750</v>
      </c>
      <c r="O14" s="111">
        <f>53.65</f>
        <v>53.65</v>
      </c>
      <c r="P14" s="111">
        <v>33</v>
      </c>
      <c r="Q14" s="111">
        <f t="shared" si="0"/>
        <v>86.65</v>
      </c>
      <c r="R14" s="112">
        <v>910825</v>
      </c>
      <c r="S14" s="112">
        <v>728821.8</v>
      </c>
      <c r="T14" s="111">
        <f t="shared" si="11"/>
        <v>364410.9</v>
      </c>
      <c r="U14" s="111">
        <f t="shared" si="12"/>
        <v>255087.63</v>
      </c>
      <c r="V14" s="111">
        <f t="shared" si="1"/>
        <v>109323.27</v>
      </c>
      <c r="W14" s="111" t="s">
        <v>477</v>
      </c>
      <c r="X14" s="73" t="s">
        <v>607</v>
      </c>
      <c r="Y14" s="55">
        <v>38988</v>
      </c>
      <c r="Z14" s="109" t="s">
        <v>406</v>
      </c>
      <c r="AA14" s="113"/>
      <c r="AB14" s="113"/>
      <c r="AC14" s="113"/>
      <c r="AD14" s="113"/>
      <c r="AE14" s="113"/>
      <c r="AF14" s="113"/>
      <c r="AG14" s="113"/>
      <c r="AH14" s="113"/>
      <c r="AI14" s="113"/>
      <c r="AJ14" s="114">
        <v>38985</v>
      </c>
      <c r="AK14" s="115">
        <v>0.6583333333333333</v>
      </c>
      <c r="AL14" s="109" t="s">
        <v>476</v>
      </c>
      <c r="AM14" s="109" t="s">
        <v>477</v>
      </c>
      <c r="AN14" s="109" t="s">
        <v>477</v>
      </c>
      <c r="AO14" s="109" t="s">
        <v>477</v>
      </c>
      <c r="AP14" s="109">
        <v>6</v>
      </c>
      <c r="AQ14" s="122" t="s">
        <v>608</v>
      </c>
      <c r="AR14" s="109" t="s">
        <v>477</v>
      </c>
      <c r="AS14" s="109" t="s">
        <v>158</v>
      </c>
      <c r="AT14" s="109" t="s">
        <v>271</v>
      </c>
      <c r="AU14" s="116">
        <v>39171</v>
      </c>
      <c r="AV14" s="109">
        <v>1919</v>
      </c>
      <c r="AW14" s="109">
        <v>152</v>
      </c>
      <c r="AX14" s="114">
        <v>39225</v>
      </c>
      <c r="BA14" s="61">
        <v>39267</v>
      </c>
      <c r="BB14" s="117">
        <v>39419</v>
      </c>
      <c r="BC14" s="118">
        <v>18</v>
      </c>
      <c r="BD14" s="61">
        <v>39084</v>
      </c>
      <c r="BE14" s="182">
        <v>39629</v>
      </c>
      <c r="BF14" s="116" t="s">
        <v>70</v>
      </c>
      <c r="BG14" s="116" t="s">
        <v>98</v>
      </c>
      <c r="BH14" s="116" t="s">
        <v>190</v>
      </c>
      <c r="BI14" s="73" t="s">
        <v>89</v>
      </c>
      <c r="BJ14" s="131" t="s">
        <v>263</v>
      </c>
      <c r="BK14" s="119">
        <f t="shared" si="13"/>
        <v>218646.54</v>
      </c>
      <c r="BL14" s="119">
        <f t="shared" si="14"/>
        <v>185849.559</v>
      </c>
      <c r="BM14" s="119">
        <f t="shared" si="15"/>
        <v>32796.981</v>
      </c>
      <c r="BN14" s="118">
        <v>495</v>
      </c>
      <c r="BO14" s="123">
        <v>39430</v>
      </c>
      <c r="BP14" s="8" t="s">
        <v>298</v>
      </c>
      <c r="BQ14" s="116">
        <v>39436</v>
      </c>
      <c r="BR14" s="193">
        <v>218646.54</v>
      </c>
      <c r="BS14" s="119">
        <v>272666.96</v>
      </c>
      <c r="BT14" s="116">
        <v>39513</v>
      </c>
      <c r="BU14" s="61">
        <v>39447</v>
      </c>
      <c r="BV14" s="116">
        <v>39513</v>
      </c>
      <c r="BW14" s="61">
        <v>39616</v>
      </c>
      <c r="BX14" s="112">
        <v>218133.56799999997</v>
      </c>
      <c r="BY14" s="119">
        <f>BX14*0.85</f>
        <v>185413.53279999996</v>
      </c>
      <c r="BZ14" s="119">
        <f>+BX14*0.15</f>
        <v>32720.035199999995</v>
      </c>
      <c r="CA14" s="118">
        <v>258</v>
      </c>
      <c r="CB14" s="108">
        <v>39644</v>
      </c>
      <c r="CC14" s="105" t="s">
        <v>58</v>
      </c>
      <c r="CD14" s="108">
        <v>39665</v>
      </c>
      <c r="CE14" s="196">
        <v>218133.56799999997</v>
      </c>
      <c r="CF14" s="119">
        <v>203954.81</v>
      </c>
      <c r="CG14" s="253" t="s">
        <v>49</v>
      </c>
      <c r="CH14" s="61">
        <v>39568</v>
      </c>
      <c r="CI14" s="61">
        <v>39598</v>
      </c>
      <c r="CJ14" s="116">
        <v>39737</v>
      </c>
      <c r="CK14" s="112">
        <v>163163.848</v>
      </c>
      <c r="CL14" s="58">
        <f>CK14*0.85</f>
        <v>138689.2708</v>
      </c>
      <c r="CM14" s="58">
        <f>+CK14*0.15</f>
        <v>24474.5772</v>
      </c>
      <c r="CN14" s="120">
        <v>440</v>
      </c>
      <c r="CO14" s="116">
        <v>39743</v>
      </c>
      <c r="CP14" s="105" t="s">
        <v>38</v>
      </c>
      <c r="CQ14" s="108">
        <v>39757</v>
      </c>
      <c r="CR14" s="195">
        <v>163163.848</v>
      </c>
      <c r="CS14" s="119">
        <v>430320.22</v>
      </c>
      <c r="CT14" s="116">
        <v>39805</v>
      </c>
      <c r="CU14" s="275">
        <v>39706</v>
      </c>
      <c r="CV14" s="275">
        <v>39736</v>
      </c>
      <c r="CW14" s="116">
        <v>39955</v>
      </c>
      <c r="CX14" s="112">
        <v>89331.95640000014</v>
      </c>
      <c r="CY14" s="119">
        <f t="shared" si="16"/>
        <v>75932.16294000011</v>
      </c>
      <c r="CZ14" s="119">
        <f t="shared" si="17"/>
        <v>13399.79346000002</v>
      </c>
      <c r="DA14" s="120">
        <v>328</v>
      </c>
      <c r="DB14" s="116">
        <v>39962</v>
      </c>
      <c r="DC14" s="120" t="s">
        <v>719</v>
      </c>
      <c r="DD14" s="123">
        <v>39979</v>
      </c>
      <c r="DE14" s="119">
        <v>89331.95640000014</v>
      </c>
      <c r="DF14" s="119"/>
      <c r="DK14" s="112"/>
      <c r="DL14" s="119"/>
      <c r="DM14" s="119"/>
      <c r="DR14" s="198"/>
      <c r="DS14" s="119"/>
      <c r="DX14" s="112"/>
      <c r="DY14" s="119">
        <f t="shared" si="20"/>
        <v>0</v>
      </c>
      <c r="DZ14" s="119">
        <f t="shared" si="22"/>
        <v>0</v>
      </c>
      <c r="EE14" s="198"/>
      <c r="EH14" s="109">
        <f t="shared" si="21"/>
        <v>0</v>
      </c>
      <c r="EI14" s="109">
        <f t="shared" si="7"/>
        <v>0</v>
      </c>
      <c r="EO14" s="58">
        <f t="shared" si="8"/>
        <v>906941.99</v>
      </c>
      <c r="EP14" s="58">
        <f t="shared" si="9"/>
        <v>470629.3724000001</v>
      </c>
      <c r="EQ14" s="58">
        <v>218646.54</v>
      </c>
      <c r="ER14" s="58">
        <f t="shared" si="10"/>
        <v>689275.9124000001</v>
      </c>
      <c r="ES14" s="58"/>
    </row>
    <row r="15" spans="1:149" s="8" customFormat="1" ht="14.25" customHeight="1">
      <c r="A15" s="8">
        <v>13</v>
      </c>
      <c r="B15" s="8">
        <v>22</v>
      </c>
      <c r="C15" s="8" t="s">
        <v>480</v>
      </c>
      <c r="D15" s="109" t="s">
        <v>596</v>
      </c>
      <c r="E15" s="8" t="s">
        <v>266</v>
      </c>
      <c r="F15" s="8" t="s">
        <v>455</v>
      </c>
      <c r="G15" s="53" t="s">
        <v>199</v>
      </c>
      <c r="H15" s="53"/>
      <c r="I15" s="53" t="s">
        <v>441</v>
      </c>
      <c r="J15" s="53" t="s">
        <v>595</v>
      </c>
      <c r="K15" s="53" t="s">
        <v>184</v>
      </c>
      <c r="L15" s="71" t="s">
        <v>111</v>
      </c>
      <c r="M15" s="54">
        <v>749.34</v>
      </c>
      <c r="N15" s="54">
        <v>563.34</v>
      </c>
      <c r="O15" s="54">
        <f>59.65</f>
        <v>59.65</v>
      </c>
      <c r="P15" s="54">
        <v>25</v>
      </c>
      <c r="Q15" s="54">
        <f t="shared" si="0"/>
        <v>84.65</v>
      </c>
      <c r="R15" s="65">
        <v>673940</v>
      </c>
      <c r="S15" s="65">
        <v>539152</v>
      </c>
      <c r="T15" s="54">
        <f t="shared" si="11"/>
        <v>269576</v>
      </c>
      <c r="U15" s="54">
        <f t="shared" si="12"/>
        <v>188703.19999999998</v>
      </c>
      <c r="V15" s="54">
        <f t="shared" si="1"/>
        <v>80872.8</v>
      </c>
      <c r="W15" s="54" t="s">
        <v>477</v>
      </c>
      <c r="X15" s="53" t="s">
        <v>597</v>
      </c>
      <c r="Y15" s="55">
        <v>38988</v>
      </c>
      <c r="Z15" s="8" t="s">
        <v>406</v>
      </c>
      <c r="AA15" s="3"/>
      <c r="AB15" s="3"/>
      <c r="AC15" s="3"/>
      <c r="AD15" s="3"/>
      <c r="AE15" s="3"/>
      <c r="AF15" s="3"/>
      <c r="AG15" s="3"/>
      <c r="AH15" s="3"/>
      <c r="AI15" s="3"/>
      <c r="AJ15" s="56">
        <v>38985</v>
      </c>
      <c r="AK15" s="57">
        <v>0.6590277777777778</v>
      </c>
      <c r="AL15" s="8" t="s">
        <v>476</v>
      </c>
      <c r="AM15" s="8" t="s">
        <v>477</v>
      </c>
      <c r="AN15" s="8" t="s">
        <v>477</v>
      </c>
      <c r="AO15" s="8" t="s">
        <v>477</v>
      </c>
      <c r="AP15" s="8">
        <v>6</v>
      </c>
      <c r="AQ15" s="30" t="s">
        <v>598</v>
      </c>
      <c r="AR15" s="8" t="s">
        <v>490</v>
      </c>
      <c r="AS15" s="8" t="s">
        <v>322</v>
      </c>
      <c r="AT15" s="8" t="s">
        <v>115</v>
      </c>
      <c r="AU15" s="61">
        <v>39171</v>
      </c>
      <c r="AV15" s="8">
        <v>1913</v>
      </c>
      <c r="AW15" s="8">
        <v>153</v>
      </c>
      <c r="AX15" s="56">
        <v>39225</v>
      </c>
      <c r="BA15" s="61">
        <v>39286</v>
      </c>
      <c r="BB15" s="103">
        <v>39351</v>
      </c>
      <c r="BC15" s="105">
        <v>18</v>
      </c>
      <c r="BD15" s="61">
        <v>39092</v>
      </c>
      <c r="BE15" s="182">
        <v>39629</v>
      </c>
      <c r="BF15" s="61" t="s">
        <v>95</v>
      </c>
      <c r="BG15" s="61" t="s">
        <v>96</v>
      </c>
      <c r="BH15" s="61" t="s">
        <v>373</v>
      </c>
      <c r="BI15" s="53" t="s">
        <v>97</v>
      </c>
      <c r="BJ15" s="130" t="s">
        <v>264</v>
      </c>
      <c r="BK15" s="58">
        <f t="shared" si="13"/>
        <v>161745.6</v>
      </c>
      <c r="BL15" s="58">
        <f t="shared" si="14"/>
        <v>137483.76</v>
      </c>
      <c r="BM15" s="58">
        <f t="shared" si="15"/>
        <v>24261.84</v>
      </c>
      <c r="BN15" s="105">
        <v>345</v>
      </c>
      <c r="BO15" s="108">
        <v>39377</v>
      </c>
      <c r="BP15" s="79" t="s">
        <v>6</v>
      </c>
      <c r="BQ15" s="61">
        <v>39391</v>
      </c>
      <c r="BR15" s="193">
        <f>137483.76+24261.84</f>
        <v>161745.6</v>
      </c>
      <c r="BS15" s="58">
        <f t="shared" si="23"/>
        <v>0</v>
      </c>
      <c r="BT15" s="116"/>
      <c r="BU15" s="61">
        <v>39447</v>
      </c>
      <c r="BV15" s="61">
        <v>39507</v>
      </c>
      <c r="BW15" s="61"/>
      <c r="BX15" s="65"/>
      <c r="BY15" s="58">
        <f t="shared" si="24"/>
        <v>0</v>
      </c>
      <c r="BZ15" s="58">
        <f t="shared" si="25"/>
        <v>0</v>
      </c>
      <c r="CA15" s="105"/>
      <c r="CB15" s="108"/>
      <c r="CC15" s="79"/>
      <c r="CD15" s="61"/>
      <c r="CE15" s="196"/>
      <c r="CF15" s="119">
        <v>233772.75</v>
      </c>
      <c r="CG15" s="254">
        <v>39624</v>
      </c>
      <c r="CH15" s="61">
        <v>39568</v>
      </c>
      <c r="CI15" s="61">
        <v>39602</v>
      </c>
      <c r="CJ15" s="61">
        <v>39721</v>
      </c>
      <c r="CK15" s="112">
        <v>187018.2</v>
      </c>
      <c r="CL15" s="58">
        <f>CK15*0.85</f>
        <v>158965.47</v>
      </c>
      <c r="CM15" s="58">
        <f>+CK15*0.15</f>
        <v>28052.73</v>
      </c>
      <c r="CN15" s="33">
        <v>399</v>
      </c>
      <c r="CO15" s="61">
        <v>39727</v>
      </c>
      <c r="CP15" s="105" t="s">
        <v>205</v>
      </c>
      <c r="CQ15" s="116">
        <v>39744</v>
      </c>
      <c r="CR15" s="195">
        <v>187018.2</v>
      </c>
      <c r="CS15" s="119">
        <v>435876.68</v>
      </c>
      <c r="CT15" s="116">
        <v>39736</v>
      </c>
      <c r="CU15" s="275">
        <v>39706</v>
      </c>
      <c r="CV15" s="275">
        <v>39736</v>
      </c>
      <c r="CW15" s="61">
        <v>39763</v>
      </c>
      <c r="CX15" s="112">
        <v>160169.76680000004</v>
      </c>
      <c r="CY15" s="119">
        <f t="shared" si="16"/>
        <v>136144.30178000004</v>
      </c>
      <c r="CZ15" s="119">
        <f t="shared" si="17"/>
        <v>24025.465020000007</v>
      </c>
      <c r="DA15" s="33">
        <v>538</v>
      </c>
      <c r="DB15" s="123">
        <v>39765</v>
      </c>
      <c r="DC15" s="108" t="s">
        <v>701</v>
      </c>
      <c r="DD15" s="108">
        <v>39765</v>
      </c>
      <c r="DE15" s="195">
        <v>160169.76680000004</v>
      </c>
      <c r="DF15" s="119"/>
      <c r="DI15" s="109" t="s">
        <v>715</v>
      </c>
      <c r="DK15" s="112">
        <v>26785.98</v>
      </c>
      <c r="DL15" s="119">
        <f t="shared" si="18"/>
        <v>22768.083</v>
      </c>
      <c r="DM15" s="119">
        <f t="shared" si="19"/>
        <v>4017.897</v>
      </c>
      <c r="DN15" s="33">
        <v>560</v>
      </c>
      <c r="DO15" s="61">
        <v>40067</v>
      </c>
      <c r="DP15" s="103" t="s">
        <v>723</v>
      </c>
      <c r="DQ15" s="61">
        <v>40081</v>
      </c>
      <c r="DR15" s="119">
        <v>26785.97</v>
      </c>
      <c r="DS15" s="119"/>
      <c r="DX15" s="112"/>
      <c r="DY15" s="119">
        <f t="shared" si="20"/>
        <v>0</v>
      </c>
      <c r="DZ15" s="119">
        <f t="shared" si="22"/>
        <v>0</v>
      </c>
      <c r="EE15" s="197"/>
      <c r="EH15" s="8">
        <f t="shared" si="21"/>
        <v>0</v>
      </c>
      <c r="EI15" s="8">
        <f t="shared" si="7"/>
        <v>0</v>
      </c>
      <c r="EO15" s="58">
        <f t="shared" si="8"/>
        <v>669649.4299999999</v>
      </c>
      <c r="EP15" s="58">
        <f t="shared" si="9"/>
        <v>373973.94680000003</v>
      </c>
      <c r="EQ15" s="58">
        <v>161745.6</v>
      </c>
      <c r="ER15" s="58">
        <f t="shared" si="10"/>
        <v>535719.5468</v>
      </c>
      <c r="ES15" s="317">
        <f>TIBE!C31</f>
        <v>3432.455999999889</v>
      </c>
    </row>
    <row r="16" spans="1:149" s="109" customFormat="1" ht="14.25" customHeight="1">
      <c r="A16" s="109">
        <v>14</v>
      </c>
      <c r="B16" s="109">
        <v>28</v>
      </c>
      <c r="C16" s="109" t="s">
        <v>480</v>
      </c>
      <c r="D16" s="109" t="s">
        <v>678</v>
      </c>
      <c r="E16" s="109" t="s">
        <v>459</v>
      </c>
      <c r="F16" s="109" t="s">
        <v>460</v>
      </c>
      <c r="G16" s="73" t="s">
        <v>200</v>
      </c>
      <c r="H16" s="73"/>
      <c r="I16" s="73" t="s">
        <v>443</v>
      </c>
      <c r="J16" s="73" t="s">
        <v>132</v>
      </c>
      <c r="K16" s="73" t="s">
        <v>181</v>
      </c>
      <c r="L16" s="169" t="s">
        <v>68</v>
      </c>
      <c r="M16" s="111">
        <v>937</v>
      </c>
      <c r="N16" s="111">
        <v>750</v>
      </c>
      <c r="O16" s="111">
        <f>30.3</f>
        <v>30.3</v>
      </c>
      <c r="P16" s="111">
        <v>24</v>
      </c>
      <c r="Q16" s="111">
        <f t="shared" si="0"/>
        <v>54.3</v>
      </c>
      <c r="R16" s="112">
        <v>700000</v>
      </c>
      <c r="S16" s="112">
        <v>560000</v>
      </c>
      <c r="T16" s="111">
        <f t="shared" si="11"/>
        <v>280000</v>
      </c>
      <c r="U16" s="111">
        <f t="shared" si="12"/>
        <v>196000</v>
      </c>
      <c r="V16" s="111">
        <f t="shared" si="1"/>
        <v>84000</v>
      </c>
      <c r="W16" s="111" t="s">
        <v>477</v>
      </c>
      <c r="X16" s="73" t="s">
        <v>679</v>
      </c>
      <c r="Y16" s="55">
        <v>38992</v>
      </c>
      <c r="Z16" s="113"/>
      <c r="AA16" s="113"/>
      <c r="AB16" s="113"/>
      <c r="AC16" s="113"/>
      <c r="AD16" s="113"/>
      <c r="AE16" s="113"/>
      <c r="AF16" s="113"/>
      <c r="AG16" s="113"/>
      <c r="AH16" s="113"/>
      <c r="AI16" s="113"/>
      <c r="AJ16" s="114">
        <v>38985</v>
      </c>
      <c r="AK16" s="115">
        <v>0.7458333333333332</v>
      </c>
      <c r="AL16" s="109" t="s">
        <v>476</v>
      </c>
      <c r="AM16" s="109" t="s">
        <v>477</v>
      </c>
      <c r="AN16" s="109" t="s">
        <v>477</v>
      </c>
      <c r="AO16" s="109" t="s">
        <v>477</v>
      </c>
      <c r="AP16" s="109">
        <v>3</v>
      </c>
      <c r="AQ16" s="109" t="s">
        <v>680</v>
      </c>
      <c r="AR16" s="109" t="s">
        <v>477</v>
      </c>
      <c r="AS16" s="109" t="s">
        <v>327</v>
      </c>
      <c r="AT16" s="109" t="s">
        <v>279</v>
      </c>
      <c r="AU16" s="116">
        <v>39171</v>
      </c>
      <c r="AV16" s="109">
        <v>1921</v>
      </c>
      <c r="AW16" s="109">
        <v>154</v>
      </c>
      <c r="AX16" s="114">
        <v>39225</v>
      </c>
      <c r="BA16" s="116">
        <v>39247</v>
      </c>
      <c r="BB16" s="117">
        <v>39339</v>
      </c>
      <c r="BC16" s="118">
        <v>18</v>
      </c>
      <c r="BD16" s="116">
        <v>39083</v>
      </c>
      <c r="BE16" s="182">
        <v>39629</v>
      </c>
      <c r="BF16" s="116" t="s">
        <v>92</v>
      </c>
      <c r="BG16" s="116" t="s">
        <v>93</v>
      </c>
      <c r="BH16" s="282" t="s">
        <v>362</v>
      </c>
      <c r="BI16" s="73" t="s">
        <v>94</v>
      </c>
      <c r="BJ16" s="131" t="s">
        <v>257</v>
      </c>
      <c r="BK16" s="119">
        <f t="shared" si="13"/>
        <v>168000</v>
      </c>
      <c r="BL16" s="119">
        <f t="shared" si="14"/>
        <v>142800</v>
      </c>
      <c r="BM16" s="119">
        <f t="shared" si="15"/>
        <v>25200</v>
      </c>
      <c r="BN16" s="105">
        <v>348</v>
      </c>
      <c r="BO16" s="108">
        <v>39377</v>
      </c>
      <c r="BP16" s="79" t="s">
        <v>7</v>
      </c>
      <c r="BQ16" s="116">
        <v>39391</v>
      </c>
      <c r="BR16" s="193">
        <v>168000</v>
      </c>
      <c r="BS16" s="119">
        <v>213061.90000000002</v>
      </c>
      <c r="BT16" s="116">
        <v>39895</v>
      </c>
      <c r="BU16" s="61">
        <v>39447</v>
      </c>
      <c r="BV16" s="116">
        <v>39477</v>
      </c>
      <c r="BW16" s="116">
        <v>39899</v>
      </c>
      <c r="BX16" s="112">
        <v>170449.52</v>
      </c>
      <c r="BY16" s="119">
        <f>BX16*0.85</f>
        <v>144882.09199999998</v>
      </c>
      <c r="BZ16" s="119">
        <f>+BX16*0.15</f>
        <v>25567.427999999996</v>
      </c>
      <c r="CA16" s="105">
        <v>260</v>
      </c>
      <c r="CB16" s="108">
        <v>39933</v>
      </c>
      <c r="CC16" s="33" t="s">
        <v>718</v>
      </c>
      <c r="CD16" s="116">
        <v>39968</v>
      </c>
      <c r="CE16" s="119">
        <v>170449.52</v>
      </c>
      <c r="CF16" s="119"/>
      <c r="CG16" s="116"/>
      <c r="CH16" s="61">
        <v>39568</v>
      </c>
      <c r="CI16" s="61">
        <v>39624</v>
      </c>
      <c r="CK16" s="112"/>
      <c r="CP16" s="120"/>
      <c r="CR16" s="195"/>
      <c r="CS16" s="119"/>
      <c r="CU16" s="270">
        <v>39706</v>
      </c>
      <c r="CV16" s="270">
        <v>39736</v>
      </c>
      <c r="CX16" s="112"/>
      <c r="CY16" s="119">
        <f t="shared" si="16"/>
        <v>0</v>
      </c>
      <c r="CZ16" s="119">
        <f t="shared" si="17"/>
        <v>0</v>
      </c>
      <c r="DD16" s="120"/>
      <c r="DE16" s="195"/>
      <c r="DF16" s="119"/>
      <c r="DK16" s="112"/>
      <c r="DL16" s="119">
        <f t="shared" si="18"/>
        <v>0</v>
      </c>
      <c r="DM16" s="119">
        <f t="shared" si="19"/>
        <v>0</v>
      </c>
      <c r="DR16" s="198"/>
      <c r="DS16" s="119"/>
      <c r="DX16" s="112"/>
      <c r="DY16" s="119">
        <f t="shared" si="20"/>
        <v>0</v>
      </c>
      <c r="DZ16" s="119">
        <f t="shared" si="22"/>
        <v>0</v>
      </c>
      <c r="EE16" s="198"/>
      <c r="EH16" s="109">
        <f t="shared" si="21"/>
        <v>0</v>
      </c>
      <c r="EI16" s="109">
        <f t="shared" si="7"/>
        <v>0</v>
      </c>
      <c r="EO16" s="58">
        <f t="shared" si="8"/>
        <v>213061.90000000002</v>
      </c>
      <c r="EP16" s="58">
        <f t="shared" si="9"/>
        <v>170449.52</v>
      </c>
      <c r="EQ16" s="58">
        <v>168000</v>
      </c>
      <c r="ER16" s="58">
        <f t="shared" si="10"/>
        <v>338449.52</v>
      </c>
      <c r="ES16" s="58"/>
    </row>
    <row r="17" spans="1:149" s="8" customFormat="1" ht="14.25" customHeight="1">
      <c r="A17" s="8">
        <v>15</v>
      </c>
      <c r="B17" s="8">
        <v>12</v>
      </c>
      <c r="C17" s="8" t="s">
        <v>400</v>
      </c>
      <c r="D17" s="109" t="s">
        <v>518</v>
      </c>
      <c r="E17" s="8" t="s">
        <v>267</v>
      </c>
      <c r="F17" s="8" t="s">
        <v>358</v>
      </c>
      <c r="G17" s="70" t="s">
        <v>645</v>
      </c>
      <c r="H17" s="70" t="s">
        <v>646</v>
      </c>
      <c r="I17" s="70" t="s">
        <v>437</v>
      </c>
      <c r="J17" s="53" t="s">
        <v>343</v>
      </c>
      <c r="K17" s="53" t="s">
        <v>342</v>
      </c>
      <c r="L17" s="71" t="s">
        <v>85</v>
      </c>
      <c r="M17" s="54">
        <v>1020</v>
      </c>
      <c r="N17" s="54">
        <v>750</v>
      </c>
      <c r="O17" s="54">
        <f>56.5</f>
        <v>56.5</v>
      </c>
      <c r="P17" s="54">
        <v>20</v>
      </c>
      <c r="Q17" s="54">
        <f t="shared" si="0"/>
        <v>76.5</v>
      </c>
      <c r="R17" s="65">
        <v>857831.2</v>
      </c>
      <c r="S17" s="65">
        <v>686264.96</v>
      </c>
      <c r="T17" s="54">
        <f t="shared" si="11"/>
        <v>343132.48</v>
      </c>
      <c r="U17" s="54">
        <f t="shared" si="12"/>
        <v>240192.73599999998</v>
      </c>
      <c r="V17" s="54">
        <f t="shared" si="1"/>
        <v>102939.74399999999</v>
      </c>
      <c r="W17" s="54" t="s">
        <v>477</v>
      </c>
      <c r="X17" s="53" t="s">
        <v>519</v>
      </c>
      <c r="Y17" s="55">
        <v>38988</v>
      </c>
      <c r="Z17" s="8" t="s">
        <v>404</v>
      </c>
      <c r="AA17" s="3"/>
      <c r="AB17" s="3"/>
      <c r="AC17" s="3"/>
      <c r="AD17" s="3"/>
      <c r="AE17" s="3"/>
      <c r="AF17" s="3"/>
      <c r="AG17" s="3"/>
      <c r="AH17" s="3"/>
      <c r="AI17" s="3"/>
      <c r="AJ17" s="56">
        <v>38985</v>
      </c>
      <c r="AK17" s="57">
        <v>0.5555555555555556</v>
      </c>
      <c r="AL17" s="8" t="s">
        <v>520</v>
      </c>
      <c r="AM17" s="8" t="s">
        <v>477</v>
      </c>
      <c r="AN17" s="8" t="s">
        <v>477</v>
      </c>
      <c r="AO17" s="8" t="s">
        <v>477</v>
      </c>
      <c r="AP17" s="8">
        <v>9</v>
      </c>
      <c r="AQ17" s="8" t="s">
        <v>521</v>
      </c>
      <c r="AR17" s="8" t="s">
        <v>477</v>
      </c>
      <c r="AS17" s="8" t="s">
        <v>124</v>
      </c>
      <c r="AT17" s="8" t="s">
        <v>268</v>
      </c>
      <c r="AU17" s="61">
        <v>39174</v>
      </c>
      <c r="AV17" s="8">
        <v>1951</v>
      </c>
      <c r="AW17" s="8">
        <v>155</v>
      </c>
      <c r="AX17" s="56">
        <v>39225</v>
      </c>
      <c r="BA17" s="61">
        <v>39283</v>
      </c>
      <c r="BB17" s="103">
        <v>39339</v>
      </c>
      <c r="BC17" s="105">
        <v>18</v>
      </c>
      <c r="BD17" s="61">
        <v>39080</v>
      </c>
      <c r="BE17" s="182">
        <v>39627</v>
      </c>
      <c r="BF17" s="61" t="s">
        <v>100</v>
      </c>
      <c r="BG17" s="61" t="s">
        <v>101</v>
      </c>
      <c r="BH17" s="61" t="s">
        <v>328</v>
      </c>
      <c r="BI17" s="53" t="s">
        <v>102</v>
      </c>
      <c r="BJ17" s="130" t="s">
        <v>261</v>
      </c>
      <c r="BK17" s="58">
        <f t="shared" si="13"/>
        <v>205879.48799999998</v>
      </c>
      <c r="BL17" s="58">
        <f t="shared" si="14"/>
        <v>174997.5648</v>
      </c>
      <c r="BM17" s="58">
        <f t="shared" si="15"/>
        <v>30881.923199999997</v>
      </c>
      <c r="BN17" s="105">
        <v>320</v>
      </c>
      <c r="BO17" s="108">
        <v>39363</v>
      </c>
      <c r="BP17" s="8" t="s">
        <v>254</v>
      </c>
      <c r="BQ17" s="61">
        <v>39381</v>
      </c>
      <c r="BR17" s="193">
        <v>205879.48799999998</v>
      </c>
      <c r="BS17" s="58">
        <f t="shared" si="23"/>
        <v>0</v>
      </c>
      <c r="BT17" s="116"/>
      <c r="BU17" s="61">
        <v>39447</v>
      </c>
      <c r="BV17" s="116">
        <v>39477</v>
      </c>
      <c r="BW17" s="61"/>
      <c r="BX17" s="65"/>
      <c r="BY17" s="58">
        <f t="shared" si="24"/>
        <v>0</v>
      </c>
      <c r="BZ17" s="58">
        <f t="shared" si="25"/>
        <v>0</v>
      </c>
      <c r="CA17" s="105"/>
      <c r="CB17" s="108"/>
      <c r="CD17" s="61"/>
      <c r="CE17" s="196"/>
      <c r="CF17" s="119">
        <v>244404.76</v>
      </c>
      <c r="CG17" s="61">
        <v>39661</v>
      </c>
      <c r="CH17" s="61">
        <v>39568</v>
      </c>
      <c r="CI17" s="61">
        <v>39604</v>
      </c>
      <c r="CJ17" s="61">
        <v>39668</v>
      </c>
      <c r="CK17" s="112">
        <v>195523.80799999996</v>
      </c>
      <c r="CL17" s="58">
        <f>CK17*0.85</f>
        <v>166195.23679999996</v>
      </c>
      <c r="CM17" s="58">
        <f>+CK17*0.15</f>
        <v>29328.571199999995</v>
      </c>
      <c r="CN17" s="33">
        <v>338</v>
      </c>
      <c r="CO17" s="108">
        <v>39696</v>
      </c>
      <c r="CP17" s="105" t="s">
        <v>54</v>
      </c>
      <c r="CQ17" s="108">
        <v>39696</v>
      </c>
      <c r="CR17" s="195">
        <v>195523.80799999996</v>
      </c>
      <c r="CS17" s="119">
        <v>613373.81</v>
      </c>
      <c r="CT17" s="116">
        <v>39736</v>
      </c>
      <c r="CU17" s="275">
        <v>39706</v>
      </c>
      <c r="CV17" s="275">
        <v>39736</v>
      </c>
      <c r="CW17" s="116">
        <v>39750</v>
      </c>
      <c r="CX17" s="112">
        <v>250508.4171999999</v>
      </c>
      <c r="CY17" s="119">
        <f t="shared" si="16"/>
        <v>212932.15461999993</v>
      </c>
      <c r="CZ17" s="119">
        <f t="shared" si="17"/>
        <v>37576.26257999999</v>
      </c>
      <c r="DA17" s="33">
        <v>512</v>
      </c>
      <c r="DB17" s="123">
        <v>39757</v>
      </c>
      <c r="DC17" s="103" t="s">
        <v>31</v>
      </c>
      <c r="DD17" s="108">
        <v>39777</v>
      </c>
      <c r="DE17" s="195">
        <v>250508.4171999999</v>
      </c>
      <c r="DF17" s="119"/>
      <c r="DI17" s="109" t="s">
        <v>715</v>
      </c>
      <c r="DK17" s="112">
        <v>34311.142799999994</v>
      </c>
      <c r="DL17" s="119">
        <f t="shared" si="18"/>
        <v>29164.471379999995</v>
      </c>
      <c r="DM17" s="119">
        <f t="shared" si="19"/>
        <v>5146.671419999999</v>
      </c>
      <c r="DN17" s="33">
        <v>477</v>
      </c>
      <c r="DO17" s="61">
        <v>40015</v>
      </c>
      <c r="DP17" s="103" t="s">
        <v>726</v>
      </c>
      <c r="DQ17" s="61">
        <v>40030</v>
      </c>
      <c r="DR17" s="119">
        <v>34311.142799999994</v>
      </c>
      <c r="DS17" s="119"/>
      <c r="DX17" s="112"/>
      <c r="DY17" s="119">
        <f t="shared" si="20"/>
        <v>0</v>
      </c>
      <c r="DZ17" s="119">
        <f t="shared" si="22"/>
        <v>0</v>
      </c>
      <c r="EE17" s="197"/>
      <c r="EH17" s="8">
        <f t="shared" si="21"/>
        <v>0</v>
      </c>
      <c r="EI17" s="8">
        <f t="shared" si="7"/>
        <v>0</v>
      </c>
      <c r="EO17" s="58">
        <f t="shared" si="8"/>
        <v>857778.5700000001</v>
      </c>
      <c r="EP17" s="58">
        <f t="shared" si="9"/>
        <v>480343.36799999984</v>
      </c>
      <c r="EQ17" s="58">
        <v>205879.48799999998</v>
      </c>
      <c r="ER17" s="58">
        <f t="shared" si="10"/>
        <v>686222.8559999998</v>
      </c>
      <c r="ES17" s="317">
        <f>CYBERPARK!C31</f>
        <v>42.10400000005029</v>
      </c>
    </row>
    <row r="18" spans="1:149" s="109" customFormat="1" ht="14.25" customHeight="1">
      <c r="A18" s="109">
        <v>16</v>
      </c>
      <c r="B18" s="109">
        <v>14</v>
      </c>
      <c r="C18" s="109" t="s">
        <v>400</v>
      </c>
      <c r="D18" s="109" t="s">
        <v>513</v>
      </c>
      <c r="E18" s="109" t="s">
        <v>430</v>
      </c>
      <c r="F18" s="109" t="s">
        <v>431</v>
      </c>
      <c r="G18" s="72" t="s">
        <v>196</v>
      </c>
      <c r="H18" s="72" t="s">
        <v>648</v>
      </c>
      <c r="I18" s="72" t="s">
        <v>438</v>
      </c>
      <c r="J18" s="73" t="s">
        <v>26</v>
      </c>
      <c r="K18" s="73" t="s">
        <v>512</v>
      </c>
      <c r="L18" s="170" t="s">
        <v>66</v>
      </c>
      <c r="M18" s="111">
        <v>510</v>
      </c>
      <c r="N18" s="111">
        <v>408</v>
      </c>
      <c r="O18" s="111">
        <f>55.5</f>
        <v>55.5</v>
      </c>
      <c r="P18" s="111">
        <v>26.5</v>
      </c>
      <c r="Q18" s="111">
        <f t="shared" si="0"/>
        <v>82</v>
      </c>
      <c r="R18" s="112">
        <v>510000</v>
      </c>
      <c r="S18" s="112">
        <v>408000</v>
      </c>
      <c r="T18" s="111">
        <f t="shared" si="11"/>
        <v>204000</v>
      </c>
      <c r="U18" s="111">
        <f t="shared" si="12"/>
        <v>142800</v>
      </c>
      <c r="V18" s="111">
        <f t="shared" si="1"/>
        <v>61200</v>
      </c>
      <c r="W18" s="111" t="s">
        <v>477</v>
      </c>
      <c r="X18" s="73" t="s">
        <v>515</v>
      </c>
      <c r="Y18" s="55">
        <v>38988</v>
      </c>
      <c r="Z18" s="113"/>
      <c r="AA18" s="113"/>
      <c r="AB18" s="113"/>
      <c r="AC18" s="113"/>
      <c r="AD18" s="113"/>
      <c r="AE18" s="113"/>
      <c r="AF18" s="113"/>
      <c r="AG18" s="113"/>
      <c r="AH18" s="113"/>
      <c r="AI18" s="113"/>
      <c r="AJ18" s="114">
        <v>38985</v>
      </c>
      <c r="AK18" s="115"/>
      <c r="AL18" s="109" t="s">
        <v>504</v>
      </c>
      <c r="AM18" s="109" t="s">
        <v>477</v>
      </c>
      <c r="AN18" s="109" t="s">
        <v>477</v>
      </c>
      <c r="AO18" s="109" t="s">
        <v>477</v>
      </c>
      <c r="AP18" s="109">
        <v>2</v>
      </c>
      <c r="AQ18" s="109" t="s">
        <v>126</v>
      </c>
      <c r="AR18" s="109" t="s">
        <v>477</v>
      </c>
      <c r="AS18" s="109" t="s">
        <v>127</v>
      </c>
      <c r="AT18" s="109" t="s">
        <v>209</v>
      </c>
      <c r="AU18" s="116">
        <v>39188</v>
      </c>
      <c r="AV18" s="109">
        <v>2147</v>
      </c>
      <c r="AW18" s="109">
        <v>156</v>
      </c>
      <c r="AX18" s="114">
        <v>39225</v>
      </c>
      <c r="BA18" s="116">
        <v>39280</v>
      </c>
      <c r="BB18" s="117">
        <v>39384</v>
      </c>
      <c r="BC18" s="120">
        <v>18</v>
      </c>
      <c r="BD18" s="61">
        <v>39052</v>
      </c>
      <c r="BE18" s="182">
        <v>39600</v>
      </c>
      <c r="BF18" s="116" t="s">
        <v>291</v>
      </c>
      <c r="BG18" s="116" t="s">
        <v>292</v>
      </c>
      <c r="BH18" s="116" t="s">
        <v>688</v>
      </c>
      <c r="BI18" s="73" t="s">
        <v>294</v>
      </c>
      <c r="BJ18" s="131" t="s">
        <v>295</v>
      </c>
      <c r="BK18" s="119">
        <f t="shared" si="13"/>
        <v>122400</v>
      </c>
      <c r="BL18" s="119">
        <f t="shared" si="14"/>
        <v>104040</v>
      </c>
      <c r="BM18" s="119">
        <f t="shared" si="15"/>
        <v>18360</v>
      </c>
      <c r="BN18" s="118">
        <v>381</v>
      </c>
      <c r="BO18" s="108">
        <v>39393</v>
      </c>
      <c r="BP18" s="8" t="s">
        <v>9</v>
      </c>
      <c r="BQ18" s="61">
        <v>39408</v>
      </c>
      <c r="BR18" s="193">
        <v>122400</v>
      </c>
      <c r="BS18" s="119">
        <v>250369.69</v>
      </c>
      <c r="BT18" s="116"/>
      <c r="BU18" s="61">
        <v>39447</v>
      </c>
      <c r="BV18" s="116">
        <v>39535</v>
      </c>
      <c r="BW18" s="116">
        <v>39737</v>
      </c>
      <c r="BX18" s="112">
        <v>200295.75199999998</v>
      </c>
      <c r="BY18" s="119">
        <f>BX18*0.85</f>
        <v>170251.38919999998</v>
      </c>
      <c r="BZ18" s="119">
        <f>+BX18*0.15</f>
        <v>30044.362799999995</v>
      </c>
      <c r="CA18" s="252" t="s">
        <v>47</v>
      </c>
      <c r="CB18" s="108"/>
      <c r="CC18" s="8"/>
      <c r="CD18" s="61"/>
      <c r="CE18" s="196"/>
      <c r="CF18" s="119"/>
      <c r="CG18" s="61"/>
      <c r="CH18" s="61">
        <v>39568</v>
      </c>
      <c r="CI18" s="61">
        <v>39598</v>
      </c>
      <c r="CK18" s="112"/>
      <c r="CR18" s="195"/>
      <c r="CS18" s="119"/>
      <c r="CU18" s="116">
        <v>39706</v>
      </c>
      <c r="CV18" s="116">
        <v>39736</v>
      </c>
      <c r="CX18" s="112"/>
      <c r="CY18" s="119">
        <f t="shared" si="16"/>
        <v>0</v>
      </c>
      <c r="CZ18" s="119">
        <f t="shared" si="17"/>
        <v>0</v>
      </c>
      <c r="DE18" s="195"/>
      <c r="DF18" s="119"/>
      <c r="DK18" s="112"/>
      <c r="DL18" s="119">
        <f t="shared" si="18"/>
        <v>0</v>
      </c>
      <c r="DM18" s="119">
        <f t="shared" si="19"/>
        <v>0</v>
      </c>
      <c r="DR18" s="198"/>
      <c r="DS18" s="119"/>
      <c r="DX18" s="112"/>
      <c r="DY18" s="119">
        <f t="shared" si="20"/>
        <v>0</v>
      </c>
      <c r="DZ18" s="119">
        <f t="shared" si="22"/>
        <v>0</v>
      </c>
      <c r="EE18" s="198"/>
      <c r="EH18" s="109">
        <f t="shared" si="21"/>
        <v>0</v>
      </c>
      <c r="EI18" s="109">
        <f t="shared" si="7"/>
        <v>0</v>
      </c>
      <c r="EO18" s="58">
        <f t="shared" si="8"/>
        <v>250369.69</v>
      </c>
      <c r="EP18" s="58">
        <f t="shared" si="9"/>
        <v>200295.75199999998</v>
      </c>
      <c r="EQ18" s="58">
        <v>122400</v>
      </c>
      <c r="ER18" s="58">
        <f t="shared" si="10"/>
        <v>322695.752</v>
      </c>
      <c r="ES18" s="58"/>
    </row>
    <row r="19" spans="1:149" s="109" customFormat="1" ht="14.25" customHeight="1">
      <c r="A19" s="87"/>
      <c r="B19" s="87"/>
      <c r="C19" s="87"/>
      <c r="D19" s="87"/>
      <c r="E19" s="87"/>
      <c r="F19" s="87"/>
      <c r="G19" s="88"/>
      <c r="H19" s="88"/>
      <c r="I19" s="88"/>
      <c r="J19" s="89"/>
      <c r="K19" s="89"/>
      <c r="L19" s="90"/>
      <c r="M19" s="91">
        <f>SUM(M3:M18)</f>
        <v>13872.005</v>
      </c>
      <c r="N19" s="91">
        <f>SUM(N3:N18)</f>
        <v>11014.87</v>
      </c>
      <c r="O19" s="91"/>
      <c r="P19" s="91"/>
      <c r="Q19" s="91"/>
      <c r="R19" s="92">
        <f>SUM(R3:R18)</f>
        <v>12529244.95</v>
      </c>
      <c r="S19" s="92">
        <f>SUM(S3:S18)</f>
        <v>9999949.760000002</v>
      </c>
      <c r="T19" s="91"/>
      <c r="U19" s="91"/>
      <c r="V19" s="91"/>
      <c r="W19" s="91"/>
      <c r="X19" s="89"/>
      <c r="Y19" s="93"/>
      <c r="Z19" s="94"/>
      <c r="AA19" s="94"/>
      <c r="AB19" s="94"/>
      <c r="AC19" s="94"/>
      <c r="AD19" s="94"/>
      <c r="AE19" s="94"/>
      <c r="AF19" s="94"/>
      <c r="AG19" s="94"/>
      <c r="AH19" s="94"/>
      <c r="AI19" s="94"/>
      <c r="AJ19" s="95"/>
      <c r="AK19" s="96"/>
      <c r="AL19" s="87"/>
      <c r="AM19" s="87"/>
      <c r="AN19" s="87"/>
      <c r="AO19" s="87"/>
      <c r="AP19" s="87"/>
      <c r="AQ19" s="87"/>
      <c r="AR19" s="87"/>
      <c r="AS19" s="87"/>
      <c r="AT19" s="87"/>
      <c r="AU19" s="97"/>
      <c r="AV19" s="98"/>
      <c r="AW19" s="87"/>
      <c r="AX19" s="87"/>
      <c r="AY19" s="87"/>
      <c r="AZ19" s="87"/>
      <c r="BA19" s="87"/>
      <c r="BB19" s="100"/>
      <c r="BC19" s="100"/>
      <c r="BD19" s="87"/>
      <c r="BE19" s="87"/>
      <c r="BF19" s="87"/>
      <c r="BG19" s="87"/>
      <c r="BH19" s="87"/>
      <c r="BI19" s="87"/>
      <c r="BJ19" s="87"/>
      <c r="BK19" s="126"/>
      <c r="BL19" s="127"/>
      <c r="BM19" s="127"/>
      <c r="BN19" s="127"/>
      <c r="BO19" s="127"/>
      <c r="BP19" s="127"/>
      <c r="BQ19" s="127"/>
      <c r="BR19" s="128">
        <f>SUM(BR3:BR18)</f>
        <v>2999984.928</v>
      </c>
      <c r="BS19" s="161"/>
      <c r="BT19" s="161"/>
      <c r="BU19" s="161"/>
      <c r="BV19" s="161"/>
      <c r="BW19" s="161"/>
      <c r="BX19" s="161"/>
      <c r="BY19" s="162"/>
      <c r="BZ19" s="162"/>
      <c r="CA19" s="162"/>
      <c r="CB19" s="162"/>
      <c r="CC19" s="162"/>
      <c r="CD19" s="162"/>
      <c r="CE19" s="163">
        <f>SUM(CE3:CE18)</f>
        <v>1469439.888</v>
      </c>
      <c r="CF19" s="171"/>
      <c r="CG19" s="171"/>
      <c r="CH19" s="171"/>
      <c r="CI19" s="171"/>
      <c r="CJ19" s="171"/>
      <c r="CK19" s="171"/>
      <c r="CL19" s="172"/>
      <c r="CM19" s="172"/>
      <c r="CN19" s="172"/>
      <c r="CO19" s="172"/>
      <c r="CP19" s="172"/>
      <c r="CQ19" s="172"/>
      <c r="CR19" s="173">
        <f>SUM(CR3:CR18)</f>
        <v>2386035.6559999995</v>
      </c>
      <c r="CS19" s="189"/>
      <c r="CT19" s="189"/>
      <c r="CU19" s="189"/>
      <c r="CV19" s="189"/>
      <c r="CW19" s="189"/>
      <c r="CX19" s="189"/>
      <c r="CY19" s="190"/>
      <c r="CZ19" s="190"/>
      <c r="DA19" s="190"/>
      <c r="DB19" s="190"/>
      <c r="DC19" s="190"/>
      <c r="DD19" s="190"/>
      <c r="DE19" s="191">
        <f>SUM(DE3:DE18)</f>
        <v>1540579.8756000004</v>
      </c>
      <c r="DF19" s="217"/>
      <c r="DG19" s="217"/>
      <c r="DH19" s="217"/>
      <c r="DI19" s="217"/>
      <c r="DJ19" s="217"/>
      <c r="DK19" s="217"/>
      <c r="DL19" s="218"/>
      <c r="DM19" s="218"/>
      <c r="DN19" s="218"/>
      <c r="DO19" s="218"/>
      <c r="DP19" s="218"/>
      <c r="DQ19" s="218"/>
      <c r="DR19" s="219">
        <f>SUM(DR3:DR18)</f>
        <v>477273.7639999998</v>
      </c>
      <c r="DS19" s="237"/>
      <c r="DT19" s="237"/>
      <c r="DU19" s="237"/>
      <c r="DV19" s="237"/>
      <c r="DW19" s="237"/>
      <c r="DX19" s="237"/>
      <c r="DY19" s="238"/>
      <c r="DZ19" s="238"/>
      <c r="EA19" s="238"/>
      <c r="EB19" s="238"/>
      <c r="EC19" s="238"/>
      <c r="ED19" s="238"/>
      <c r="EE19" s="239">
        <f>SUM(EE3:EE18)</f>
        <v>134007.334</v>
      </c>
      <c r="EF19" s="333">
        <f>SUM(EN3:EN18)</f>
        <v>0</v>
      </c>
      <c r="EG19" s="333"/>
      <c r="EH19" s="333"/>
      <c r="EI19" s="333"/>
      <c r="EJ19" s="333"/>
      <c r="EK19" s="333"/>
      <c r="EL19" s="333"/>
      <c r="EM19" s="333"/>
      <c r="EN19" s="333"/>
      <c r="EO19" s="112">
        <f>SUM(EO3:EO18)</f>
        <v>11077955.88</v>
      </c>
      <c r="EP19" s="112">
        <f>SUM(EP3:EP18)</f>
        <v>6308258.659599999</v>
      </c>
      <c r="EQ19" s="112">
        <v>2999984.928</v>
      </c>
      <c r="ER19" s="112">
        <f t="shared" si="10"/>
        <v>9308243.587599998</v>
      </c>
      <c r="ES19" s="112">
        <f>SUM(ES3:ES18)</f>
        <v>206655.7919999999</v>
      </c>
    </row>
    <row r="20" spans="1:144" s="3" customFormat="1" ht="14.25" customHeight="1">
      <c r="A20" s="3">
        <f>A18+1</f>
        <v>17</v>
      </c>
      <c r="B20" s="8">
        <v>10</v>
      </c>
      <c r="C20" s="8" t="s">
        <v>468</v>
      </c>
      <c r="D20" s="8" t="s">
        <v>536</v>
      </c>
      <c r="E20" s="3" t="s">
        <v>394</v>
      </c>
      <c r="F20" s="3" t="s">
        <v>395</v>
      </c>
      <c r="J20" s="9" t="s">
        <v>534</v>
      </c>
      <c r="K20" s="9" t="s">
        <v>535</v>
      </c>
      <c r="L20" s="9"/>
      <c r="M20" s="17">
        <v>700</v>
      </c>
      <c r="N20" s="17">
        <v>560</v>
      </c>
      <c r="O20" s="17">
        <v>0</v>
      </c>
      <c r="P20" s="17">
        <v>0</v>
      </c>
      <c r="Q20" s="17">
        <f t="shared" si="0"/>
        <v>0</v>
      </c>
      <c r="R20" s="75"/>
      <c r="S20" s="69"/>
      <c r="T20" s="17"/>
      <c r="U20" s="17"/>
      <c r="V20" s="17"/>
      <c r="W20" s="54" t="s">
        <v>490</v>
      </c>
      <c r="X20" s="9" t="s">
        <v>537</v>
      </c>
      <c r="Y20" s="22">
        <v>38988</v>
      </c>
      <c r="AJ20" s="27">
        <v>38982</v>
      </c>
      <c r="AK20" s="76" t="s">
        <v>693</v>
      </c>
      <c r="AL20" s="3" t="s">
        <v>408</v>
      </c>
      <c r="AM20" s="3" t="s">
        <v>477</v>
      </c>
      <c r="AN20" s="3" t="s">
        <v>477</v>
      </c>
      <c r="AO20" s="3" t="s">
        <v>477</v>
      </c>
      <c r="AP20" s="3">
        <v>4</v>
      </c>
      <c r="AQ20" s="3" t="s">
        <v>538</v>
      </c>
      <c r="AR20" s="8" t="s">
        <v>490</v>
      </c>
      <c r="AS20" s="3" t="s">
        <v>122</v>
      </c>
      <c r="AT20" s="77" t="s">
        <v>183</v>
      </c>
      <c r="BB20" s="39"/>
      <c r="BC20" s="39"/>
      <c r="BO20" s="39"/>
      <c r="BR20" s="3">
        <v>2999984.928</v>
      </c>
      <c r="CE20" s="181">
        <f>SUM(BX3:BX18)</f>
        <v>1669735.6400000001</v>
      </c>
      <c r="CR20" s="181">
        <f>SUM(CK3:CK18)</f>
        <v>2386035.6559999995</v>
      </c>
      <c r="DE20" s="181">
        <f>SUM(CX3:CX18)</f>
        <v>1540579.8756000004</v>
      </c>
      <c r="DR20" s="181">
        <f>SUM(DK3:DK18)</f>
        <v>548011.5639999998</v>
      </c>
      <c r="EE20" s="181">
        <f>SUM(DX3:DX18)</f>
        <v>163895.924</v>
      </c>
      <c r="EN20" s="3">
        <f>SUM(EG3:EG18)</f>
        <v>0</v>
      </c>
    </row>
    <row r="21" spans="1:145" s="3" customFormat="1" ht="14.25" customHeight="1">
      <c r="A21" s="3">
        <f aca="true" t="shared" si="26" ref="A21:A40">A20+1</f>
        <v>18</v>
      </c>
      <c r="B21" s="8">
        <v>19</v>
      </c>
      <c r="C21" s="8" t="s">
        <v>468</v>
      </c>
      <c r="D21" s="8" t="s">
        <v>584</v>
      </c>
      <c r="E21" s="3" t="s">
        <v>452</v>
      </c>
      <c r="F21" s="3" t="s">
        <v>453</v>
      </c>
      <c r="J21" s="9" t="s">
        <v>582</v>
      </c>
      <c r="K21" s="9" t="s">
        <v>583</v>
      </c>
      <c r="L21" s="9"/>
      <c r="M21" s="17">
        <v>891.075</v>
      </c>
      <c r="N21" s="17">
        <v>712.86</v>
      </c>
      <c r="O21" s="17">
        <v>50</v>
      </c>
      <c r="P21" s="17">
        <v>30</v>
      </c>
      <c r="Q21" s="17">
        <f t="shared" si="0"/>
        <v>80</v>
      </c>
      <c r="R21" s="75"/>
      <c r="S21" s="69"/>
      <c r="T21" s="17"/>
      <c r="U21" s="17"/>
      <c r="V21" s="17"/>
      <c r="W21" s="54" t="s">
        <v>490</v>
      </c>
      <c r="X21" s="9" t="s">
        <v>585</v>
      </c>
      <c r="Y21" s="22">
        <v>38988</v>
      </c>
      <c r="Z21" s="8" t="s">
        <v>405</v>
      </c>
      <c r="AJ21" s="27">
        <v>38985</v>
      </c>
      <c r="AK21" s="12">
        <v>0.611111111111111</v>
      </c>
      <c r="AL21" s="3" t="s">
        <v>476</v>
      </c>
      <c r="AM21" s="3" t="s">
        <v>477</v>
      </c>
      <c r="AN21" s="3" t="s">
        <v>477</v>
      </c>
      <c r="AO21" s="3" t="s">
        <v>477</v>
      </c>
      <c r="AP21" s="3">
        <v>9</v>
      </c>
      <c r="AQ21" s="3" t="s">
        <v>586</v>
      </c>
      <c r="AR21" s="3" t="s">
        <v>477</v>
      </c>
      <c r="AS21" s="3" t="s">
        <v>332</v>
      </c>
      <c r="AT21" s="77" t="s">
        <v>195</v>
      </c>
      <c r="BB21" s="39"/>
      <c r="BC21" s="39"/>
      <c r="BO21" s="39"/>
      <c r="EO21" s="3">
        <f>SUM(BR20:EE20)</f>
        <v>9308243.5876</v>
      </c>
    </row>
    <row r="22" spans="1:67" s="3" customFormat="1" ht="14.25" customHeight="1">
      <c r="A22" s="3">
        <f t="shared" si="26"/>
        <v>19</v>
      </c>
      <c r="B22" s="8">
        <v>24</v>
      </c>
      <c r="C22" s="8" t="s">
        <v>468</v>
      </c>
      <c r="D22" s="8" t="s">
        <v>667</v>
      </c>
      <c r="E22" s="3" t="s">
        <v>664</v>
      </c>
      <c r="F22" s="3" t="s">
        <v>387</v>
      </c>
      <c r="J22" s="9" t="s">
        <v>665</v>
      </c>
      <c r="K22" s="9" t="s">
        <v>666</v>
      </c>
      <c r="L22" s="9"/>
      <c r="M22" s="17">
        <v>750</v>
      </c>
      <c r="N22" s="17">
        <v>600</v>
      </c>
      <c r="O22" s="17">
        <v>42.5</v>
      </c>
      <c r="P22" s="17">
        <v>30</v>
      </c>
      <c r="Q22" s="17">
        <f t="shared" si="0"/>
        <v>72.5</v>
      </c>
      <c r="R22" s="75"/>
      <c r="S22" s="69"/>
      <c r="T22" s="17"/>
      <c r="U22" s="17"/>
      <c r="V22" s="17"/>
      <c r="W22" s="54" t="s">
        <v>490</v>
      </c>
      <c r="X22" s="9" t="s">
        <v>668</v>
      </c>
      <c r="Y22" s="22">
        <v>38992</v>
      </c>
      <c r="Z22" s="8" t="s">
        <v>406</v>
      </c>
      <c r="AJ22" s="27">
        <v>38985</v>
      </c>
      <c r="AK22" s="12">
        <v>0.5708333333333333</v>
      </c>
      <c r="AL22" s="3" t="s">
        <v>504</v>
      </c>
      <c r="AM22" s="3" t="s">
        <v>477</v>
      </c>
      <c r="AN22" s="3" t="s">
        <v>477</v>
      </c>
      <c r="AO22" s="3" t="s">
        <v>477</v>
      </c>
      <c r="AP22" s="3">
        <v>5</v>
      </c>
      <c r="AQ22" s="3" t="s">
        <v>669</v>
      </c>
      <c r="AR22" s="8" t="s">
        <v>490</v>
      </c>
      <c r="AS22" s="3" t="s">
        <v>698</v>
      </c>
      <c r="AT22" s="77" t="s">
        <v>299</v>
      </c>
      <c r="BB22" s="39"/>
      <c r="BC22" s="39"/>
      <c r="BH22" s="8"/>
      <c r="BO22" s="39"/>
    </row>
    <row r="23" spans="1:67" s="3" customFormat="1" ht="14.25" customHeight="1">
      <c r="A23" s="3">
        <f t="shared" si="26"/>
        <v>20</v>
      </c>
      <c r="B23" s="8">
        <v>25</v>
      </c>
      <c r="C23" s="8" t="s">
        <v>468</v>
      </c>
      <c r="D23" s="8" t="s">
        <v>525</v>
      </c>
      <c r="E23" s="3" t="s">
        <v>522</v>
      </c>
      <c r="F23" s="3" t="s">
        <v>355</v>
      </c>
      <c r="J23" s="9" t="s">
        <v>523</v>
      </c>
      <c r="K23" s="9" t="s">
        <v>524</v>
      </c>
      <c r="L23" s="9"/>
      <c r="M23" s="17">
        <v>910</v>
      </c>
      <c r="N23" s="17">
        <v>728</v>
      </c>
      <c r="O23" s="17">
        <v>48.75</v>
      </c>
      <c r="P23" s="17">
        <v>30</v>
      </c>
      <c r="Q23" s="17">
        <f t="shared" si="0"/>
        <v>78.75</v>
      </c>
      <c r="R23" s="75"/>
      <c r="S23" s="69"/>
      <c r="T23" s="17"/>
      <c r="U23" s="17"/>
      <c r="V23" s="17"/>
      <c r="W23" s="54" t="s">
        <v>490</v>
      </c>
      <c r="X23" s="9" t="s">
        <v>526</v>
      </c>
      <c r="Y23" s="22">
        <v>38992</v>
      </c>
      <c r="AJ23" s="27">
        <v>38862</v>
      </c>
      <c r="AK23" s="12">
        <v>0.7534722222222222</v>
      </c>
      <c r="AL23" s="3" t="s">
        <v>476</v>
      </c>
      <c r="AM23" s="3" t="s">
        <v>477</v>
      </c>
      <c r="AN23" s="3" t="s">
        <v>477</v>
      </c>
      <c r="AO23" s="3" t="s">
        <v>477</v>
      </c>
      <c r="AP23" s="3">
        <v>10</v>
      </c>
      <c r="AQ23" s="3" t="s">
        <v>527</v>
      </c>
      <c r="AR23" s="3" t="s">
        <v>490</v>
      </c>
      <c r="AS23" s="3" t="s">
        <v>325</v>
      </c>
      <c r="AT23" s="77" t="s">
        <v>305</v>
      </c>
      <c r="BB23" s="39"/>
      <c r="BC23" s="39"/>
      <c r="BO23" s="39"/>
    </row>
    <row r="24" spans="1:67" s="3" customFormat="1" ht="14.25" customHeight="1">
      <c r="A24" s="3">
        <f t="shared" si="26"/>
        <v>21</v>
      </c>
      <c r="B24" s="8">
        <v>34</v>
      </c>
      <c r="C24" s="8" t="s">
        <v>468</v>
      </c>
      <c r="D24" s="8" t="s">
        <v>624</v>
      </c>
      <c r="E24" s="3" t="s">
        <v>464</v>
      </c>
      <c r="F24" s="3" t="s">
        <v>465</v>
      </c>
      <c r="J24" s="9" t="s">
        <v>623</v>
      </c>
      <c r="K24" s="9" t="s">
        <v>623</v>
      </c>
      <c r="L24" s="9"/>
      <c r="M24" s="17">
        <v>930</v>
      </c>
      <c r="N24" s="17">
        <v>744</v>
      </c>
      <c r="O24" s="17">
        <v>48.75</v>
      </c>
      <c r="P24" s="17">
        <v>30</v>
      </c>
      <c r="Q24" s="17">
        <f t="shared" si="0"/>
        <v>78.75</v>
      </c>
      <c r="R24" s="75"/>
      <c r="S24" s="69"/>
      <c r="T24" s="17"/>
      <c r="U24" s="17"/>
      <c r="V24" s="17"/>
      <c r="W24" s="54" t="s">
        <v>490</v>
      </c>
      <c r="X24" s="9" t="s">
        <v>625</v>
      </c>
      <c r="Y24" s="22">
        <v>38992</v>
      </c>
      <c r="AJ24" s="27">
        <v>38985</v>
      </c>
      <c r="AK24" s="12">
        <v>0.7104166666666667</v>
      </c>
      <c r="AL24" s="3" t="s">
        <v>476</v>
      </c>
      <c r="AM24" s="3" t="s">
        <v>477</v>
      </c>
      <c r="AN24" s="3" t="s">
        <v>477</v>
      </c>
      <c r="AO24" s="3" t="s">
        <v>477</v>
      </c>
      <c r="AP24" s="3">
        <v>4</v>
      </c>
      <c r="AQ24" s="3" t="s">
        <v>626</v>
      </c>
      <c r="AR24" s="3" t="s">
        <v>490</v>
      </c>
      <c r="AS24" s="3" t="s">
        <v>339</v>
      </c>
      <c r="AT24" s="77" t="s">
        <v>319</v>
      </c>
      <c r="BB24" s="39"/>
      <c r="BC24" s="39"/>
      <c r="BO24" s="39"/>
    </row>
    <row r="25" spans="1:91" s="3" customFormat="1" ht="14.25" customHeight="1">
      <c r="A25" s="3">
        <f t="shared" si="26"/>
        <v>22</v>
      </c>
      <c r="B25" s="8">
        <v>37</v>
      </c>
      <c r="C25" s="8" t="s">
        <v>468</v>
      </c>
      <c r="D25" s="8" t="s">
        <v>588</v>
      </c>
      <c r="E25" s="3" t="s">
        <v>425</v>
      </c>
      <c r="F25" s="3" t="s">
        <v>424</v>
      </c>
      <c r="J25" s="9" t="s">
        <v>620</v>
      </c>
      <c r="K25" s="9"/>
      <c r="L25" s="9"/>
      <c r="M25" s="17">
        <v>930</v>
      </c>
      <c r="N25" s="17">
        <v>744</v>
      </c>
      <c r="O25" s="17">
        <v>0</v>
      </c>
      <c r="P25" s="17">
        <v>0</v>
      </c>
      <c r="Q25" s="17">
        <f t="shared" si="0"/>
        <v>0</v>
      </c>
      <c r="R25" s="75"/>
      <c r="S25" s="69"/>
      <c r="T25" s="17"/>
      <c r="U25" s="17"/>
      <c r="V25" s="17"/>
      <c r="W25" s="54" t="s">
        <v>490</v>
      </c>
      <c r="X25" s="9" t="s">
        <v>621</v>
      </c>
      <c r="Y25" s="22">
        <v>38980</v>
      </c>
      <c r="Z25" s="8" t="s">
        <v>686</v>
      </c>
      <c r="AJ25" s="27">
        <v>38971</v>
      </c>
      <c r="AK25" s="12">
        <v>0.7881944444444445</v>
      </c>
      <c r="AL25" s="3" t="s">
        <v>498</v>
      </c>
      <c r="AM25" s="3" t="s">
        <v>477</v>
      </c>
      <c r="AN25" s="3" t="s">
        <v>477</v>
      </c>
      <c r="AO25" s="3" t="s">
        <v>477</v>
      </c>
      <c r="AP25" s="3">
        <v>4</v>
      </c>
      <c r="AQ25" s="3" t="s">
        <v>622</v>
      </c>
      <c r="AR25" s="8" t="s">
        <v>490</v>
      </c>
      <c r="AS25" s="3" t="s">
        <v>0</v>
      </c>
      <c r="AT25" s="77" t="s">
        <v>321</v>
      </c>
      <c r="BB25" s="39"/>
      <c r="BC25" s="39"/>
      <c r="BO25" s="39"/>
      <c r="CF25" s="181"/>
      <c r="CG25" s="61"/>
      <c r="CH25" s="61"/>
      <c r="CI25" s="61"/>
      <c r="CK25" s="58"/>
      <c r="CL25" s="58"/>
      <c r="CM25" s="58"/>
    </row>
    <row r="26" spans="1:67" s="3" customFormat="1" ht="14.25" customHeight="1">
      <c r="A26" s="3">
        <f t="shared" si="26"/>
        <v>23</v>
      </c>
      <c r="B26" s="8">
        <v>5</v>
      </c>
      <c r="C26" s="8" t="s">
        <v>480</v>
      </c>
      <c r="D26" s="8" t="s">
        <v>601</v>
      </c>
      <c r="E26" s="3" t="s">
        <v>392</v>
      </c>
      <c r="F26" s="3" t="s">
        <v>393</v>
      </c>
      <c r="J26" s="9" t="s">
        <v>599</v>
      </c>
      <c r="K26" s="9" t="s">
        <v>600</v>
      </c>
      <c r="L26" s="9"/>
      <c r="M26" s="17">
        <v>1200</v>
      </c>
      <c r="N26" s="17">
        <v>750</v>
      </c>
      <c r="O26" s="17">
        <v>0</v>
      </c>
      <c r="P26" s="17">
        <v>0</v>
      </c>
      <c r="Q26" s="17">
        <f t="shared" si="0"/>
        <v>0</v>
      </c>
      <c r="R26" s="75"/>
      <c r="S26" s="69"/>
      <c r="T26" s="17"/>
      <c r="U26" s="17"/>
      <c r="V26" s="17"/>
      <c r="W26" s="54" t="s">
        <v>490</v>
      </c>
      <c r="X26" s="9" t="s">
        <v>602</v>
      </c>
      <c r="Y26" s="22">
        <v>38993</v>
      </c>
      <c r="Z26" s="31"/>
      <c r="AA26" s="31"/>
      <c r="AB26" s="31"/>
      <c r="AC26" s="31"/>
      <c r="AD26" s="31"/>
      <c r="AE26" s="31"/>
      <c r="AF26" s="31"/>
      <c r="AG26" s="31"/>
      <c r="AH26" s="31"/>
      <c r="AI26" s="31"/>
      <c r="AJ26" s="27">
        <v>38985</v>
      </c>
      <c r="AK26" s="12">
        <v>0.4513888888888889</v>
      </c>
      <c r="AL26" s="3" t="s">
        <v>408</v>
      </c>
      <c r="AM26" s="3" t="s">
        <v>477</v>
      </c>
      <c r="AN26" s="3" t="s">
        <v>477</v>
      </c>
      <c r="AO26" s="3" t="s">
        <v>477</v>
      </c>
      <c r="AP26" s="3">
        <v>3</v>
      </c>
      <c r="AQ26" s="3" t="s">
        <v>603</v>
      </c>
      <c r="AR26" s="3" t="s">
        <v>490</v>
      </c>
      <c r="AS26" s="3" t="s">
        <v>116</v>
      </c>
      <c r="AT26" s="77" t="s">
        <v>176</v>
      </c>
      <c r="BB26" s="39"/>
      <c r="BC26" s="39"/>
      <c r="BO26" s="39"/>
    </row>
    <row r="27" spans="1:67" s="3" customFormat="1" ht="14.25" customHeight="1">
      <c r="A27" s="3">
        <f t="shared" si="26"/>
        <v>24</v>
      </c>
      <c r="B27" s="8">
        <v>8</v>
      </c>
      <c r="C27" s="8" t="s">
        <v>480</v>
      </c>
      <c r="D27" s="8" t="s">
        <v>488</v>
      </c>
      <c r="E27" s="3" t="s">
        <v>350</v>
      </c>
      <c r="F27" s="3" t="s">
        <v>351</v>
      </c>
      <c r="J27" s="9" t="s">
        <v>487</v>
      </c>
      <c r="K27" s="9" t="s">
        <v>487</v>
      </c>
      <c r="L27" s="9"/>
      <c r="M27" s="17">
        <v>500</v>
      </c>
      <c r="N27" s="17">
        <v>400</v>
      </c>
      <c r="O27" s="17">
        <f>42</f>
        <v>42</v>
      </c>
      <c r="P27" s="17">
        <v>30</v>
      </c>
      <c r="Q27" s="17">
        <f t="shared" si="0"/>
        <v>72</v>
      </c>
      <c r="R27" s="75"/>
      <c r="S27" s="69"/>
      <c r="T27" s="17"/>
      <c r="U27" s="17"/>
      <c r="V27" s="17"/>
      <c r="W27" s="54" t="s">
        <v>490</v>
      </c>
      <c r="X27" s="9" t="s">
        <v>489</v>
      </c>
      <c r="Y27" s="22">
        <v>38988</v>
      </c>
      <c r="Z27" s="31"/>
      <c r="AA27" s="31"/>
      <c r="AB27" s="31"/>
      <c r="AC27" s="31"/>
      <c r="AD27" s="31"/>
      <c r="AE27" s="31"/>
      <c r="AF27" s="31"/>
      <c r="AG27" s="31"/>
      <c r="AH27" s="31"/>
      <c r="AI27" s="31"/>
      <c r="AJ27" s="27">
        <v>38985</v>
      </c>
      <c r="AK27" s="12">
        <v>0.5652777777777778</v>
      </c>
      <c r="AL27" s="3" t="s">
        <v>476</v>
      </c>
      <c r="AM27" s="3" t="s">
        <v>477</v>
      </c>
      <c r="AN27" s="3" t="s">
        <v>477</v>
      </c>
      <c r="AO27" s="3" t="s">
        <v>477</v>
      </c>
      <c r="AP27" s="3">
        <v>3</v>
      </c>
      <c r="AQ27" s="3" t="s">
        <v>692</v>
      </c>
      <c r="AR27" s="8" t="s">
        <v>490</v>
      </c>
      <c r="AS27" s="3" t="s">
        <v>120</v>
      </c>
      <c r="AT27" s="77" t="s">
        <v>178</v>
      </c>
      <c r="BB27" s="39"/>
      <c r="BC27" s="39"/>
      <c r="BO27" s="39"/>
    </row>
    <row r="28" spans="1:67" s="3" customFormat="1" ht="14.25" customHeight="1">
      <c r="A28" s="3">
        <f t="shared" si="26"/>
        <v>25</v>
      </c>
      <c r="B28" s="8">
        <v>13</v>
      </c>
      <c r="C28" s="8" t="s">
        <v>480</v>
      </c>
      <c r="D28" s="8" t="s">
        <v>661</v>
      </c>
      <c r="E28" s="3" t="s">
        <v>658</v>
      </c>
      <c r="F28" s="3" t="s">
        <v>303</v>
      </c>
      <c r="J28" s="9" t="s">
        <v>659</v>
      </c>
      <c r="K28" s="9" t="s">
        <v>660</v>
      </c>
      <c r="L28" s="9"/>
      <c r="M28" s="17">
        <v>931.68</v>
      </c>
      <c r="N28" s="17">
        <v>745.344</v>
      </c>
      <c r="O28" s="17">
        <v>48</v>
      </c>
      <c r="P28" s="17">
        <v>30</v>
      </c>
      <c r="Q28" s="17">
        <f t="shared" si="0"/>
        <v>78</v>
      </c>
      <c r="R28" s="75"/>
      <c r="S28" s="69"/>
      <c r="T28" s="17"/>
      <c r="U28" s="17"/>
      <c r="V28" s="17"/>
      <c r="W28" s="54" t="s">
        <v>490</v>
      </c>
      <c r="X28" s="9" t="s">
        <v>662</v>
      </c>
      <c r="Y28" s="22">
        <v>38988</v>
      </c>
      <c r="AJ28" s="27">
        <v>38985</v>
      </c>
      <c r="AK28" s="12">
        <v>0.49513888888888885</v>
      </c>
      <c r="AL28" s="3" t="s">
        <v>504</v>
      </c>
      <c r="AM28" s="3" t="s">
        <v>477</v>
      </c>
      <c r="AN28" s="3" t="s">
        <v>477</v>
      </c>
      <c r="AO28" s="3" t="s">
        <v>477</v>
      </c>
      <c r="AP28" s="3">
        <v>4</v>
      </c>
      <c r="AQ28" s="3" t="s">
        <v>663</v>
      </c>
      <c r="AR28" s="3" t="s">
        <v>490</v>
      </c>
      <c r="AS28" s="3" t="s">
        <v>125</v>
      </c>
      <c r="AT28" s="77" t="s">
        <v>186</v>
      </c>
      <c r="BB28" s="39"/>
      <c r="BC28" s="39"/>
      <c r="BO28" s="39"/>
    </row>
    <row r="29" spans="1:67" s="3" customFormat="1" ht="14.25" customHeight="1">
      <c r="A29" s="3">
        <f t="shared" si="26"/>
        <v>26</v>
      </c>
      <c r="B29" s="8">
        <v>17</v>
      </c>
      <c r="C29" s="8" t="s">
        <v>480</v>
      </c>
      <c r="D29" s="8" t="s">
        <v>483</v>
      </c>
      <c r="E29" s="3" t="s">
        <v>479</v>
      </c>
      <c r="F29" s="3" t="s">
        <v>304</v>
      </c>
      <c r="J29" s="9" t="s">
        <v>481</v>
      </c>
      <c r="K29" s="9" t="s">
        <v>482</v>
      </c>
      <c r="L29" s="9"/>
      <c r="M29" s="17">
        <v>831.526</v>
      </c>
      <c r="N29" s="17">
        <v>623.645</v>
      </c>
      <c r="O29" s="17">
        <v>45.75</v>
      </c>
      <c r="P29" s="17">
        <v>30</v>
      </c>
      <c r="Q29" s="17">
        <f t="shared" si="0"/>
        <v>75.75</v>
      </c>
      <c r="R29" s="75"/>
      <c r="S29" s="69"/>
      <c r="T29" s="17"/>
      <c r="U29" s="17"/>
      <c r="V29" s="17"/>
      <c r="W29" s="54" t="s">
        <v>490</v>
      </c>
      <c r="X29" s="78" t="s">
        <v>484</v>
      </c>
      <c r="Y29" s="22">
        <v>39018</v>
      </c>
      <c r="AJ29" s="27">
        <v>38985</v>
      </c>
      <c r="AK29" s="12">
        <v>0.4875</v>
      </c>
      <c r="AL29" s="3" t="s">
        <v>486</v>
      </c>
      <c r="AM29" s="3" t="s">
        <v>477</v>
      </c>
      <c r="AN29" s="3" t="s">
        <v>477</v>
      </c>
      <c r="AO29" s="3" t="s">
        <v>477</v>
      </c>
      <c r="AP29" s="3">
        <v>3</v>
      </c>
      <c r="AQ29" s="3" t="s">
        <v>129</v>
      </c>
      <c r="AR29" s="3" t="s">
        <v>490</v>
      </c>
      <c r="AS29" s="3" t="s">
        <v>133</v>
      </c>
      <c r="AT29" s="77" t="s">
        <v>193</v>
      </c>
      <c r="BB29" s="39"/>
      <c r="BC29" s="39"/>
      <c r="BO29" s="39"/>
    </row>
    <row r="30" spans="1:147" s="3" customFormat="1" ht="14.25" customHeight="1">
      <c r="A30" s="3">
        <f t="shared" si="26"/>
        <v>27</v>
      </c>
      <c r="B30" s="8">
        <v>18</v>
      </c>
      <c r="C30" s="8" t="s">
        <v>480</v>
      </c>
      <c r="D30" s="8" t="s">
        <v>542</v>
      </c>
      <c r="E30" s="3" t="s">
        <v>539</v>
      </c>
      <c r="F30" s="3" t="s">
        <v>347</v>
      </c>
      <c r="J30" s="9" t="s">
        <v>540</v>
      </c>
      <c r="K30" s="9" t="s">
        <v>541</v>
      </c>
      <c r="L30" s="9"/>
      <c r="M30" s="17">
        <v>447.194</v>
      </c>
      <c r="N30" s="17">
        <v>357.775</v>
      </c>
      <c r="O30" s="17">
        <v>52</v>
      </c>
      <c r="P30" s="17">
        <v>30</v>
      </c>
      <c r="Q30" s="17">
        <f t="shared" si="0"/>
        <v>82</v>
      </c>
      <c r="R30" s="75"/>
      <c r="S30" s="69"/>
      <c r="T30" s="17"/>
      <c r="U30" s="17"/>
      <c r="V30" s="17"/>
      <c r="W30" s="54" t="s">
        <v>490</v>
      </c>
      <c r="X30" s="9" t="s">
        <v>543</v>
      </c>
      <c r="Y30" s="22">
        <v>38988</v>
      </c>
      <c r="Z30" s="31"/>
      <c r="AA30" s="31"/>
      <c r="AB30" s="31"/>
      <c r="AC30" s="31"/>
      <c r="AD30" s="31"/>
      <c r="AE30" s="31"/>
      <c r="AF30" s="31"/>
      <c r="AG30" s="31"/>
      <c r="AH30" s="31"/>
      <c r="AI30" s="31"/>
      <c r="AJ30" s="27">
        <v>38982</v>
      </c>
      <c r="AK30" s="12">
        <v>0.5034722222222222</v>
      </c>
      <c r="AL30" s="3" t="s">
        <v>476</v>
      </c>
      <c r="AM30" s="3" t="s">
        <v>477</v>
      </c>
      <c r="AN30" s="3" t="s">
        <v>477</v>
      </c>
      <c r="AO30" s="3" t="s">
        <v>477</v>
      </c>
      <c r="AP30" s="3">
        <v>3</v>
      </c>
      <c r="AQ30" s="3" t="s">
        <v>544</v>
      </c>
      <c r="AR30" s="3" t="s">
        <v>490</v>
      </c>
      <c r="AS30" s="3" t="s">
        <v>135</v>
      </c>
      <c r="AT30" s="77" t="s">
        <v>194</v>
      </c>
      <c r="BB30" s="39"/>
      <c r="BC30" s="39"/>
      <c r="BO30" s="39"/>
      <c r="EN30" s="3">
        <v>1211</v>
      </c>
      <c r="EO30" s="3">
        <f>EN30*8.5/100</f>
        <v>102.935</v>
      </c>
      <c r="EP30" s="3">
        <v>900</v>
      </c>
      <c r="EQ30" s="3">
        <f>SUM(EN30:EP30)</f>
        <v>2213.935</v>
      </c>
    </row>
    <row r="31" spans="1:67" s="3" customFormat="1" ht="14.25" customHeight="1">
      <c r="A31" s="3">
        <f t="shared" si="26"/>
        <v>28</v>
      </c>
      <c r="B31" s="8">
        <v>27</v>
      </c>
      <c r="C31" s="8" t="s">
        <v>480</v>
      </c>
      <c r="D31" s="79" t="s">
        <v>672</v>
      </c>
      <c r="E31" s="3" t="s">
        <v>457</v>
      </c>
      <c r="F31" s="3" t="s">
        <v>458</v>
      </c>
      <c r="J31" s="9" t="s">
        <v>670</v>
      </c>
      <c r="K31" s="9" t="s">
        <v>671</v>
      </c>
      <c r="L31" s="9"/>
      <c r="M31" s="17">
        <v>956</v>
      </c>
      <c r="N31" s="17">
        <v>750</v>
      </c>
      <c r="O31" s="17">
        <v>0</v>
      </c>
      <c r="P31" s="17">
        <v>0</v>
      </c>
      <c r="Q31" s="17">
        <f t="shared" si="0"/>
        <v>0</v>
      </c>
      <c r="R31" s="75"/>
      <c r="S31" s="69"/>
      <c r="T31" s="17"/>
      <c r="U31" s="17"/>
      <c r="V31" s="17"/>
      <c r="W31" s="54" t="s">
        <v>490</v>
      </c>
      <c r="X31" s="9" t="s">
        <v>673</v>
      </c>
      <c r="Y31" s="22">
        <v>38992</v>
      </c>
      <c r="AJ31" s="27">
        <v>38985</v>
      </c>
      <c r="AK31" s="12">
        <v>0.3652777777777778</v>
      </c>
      <c r="AL31" s="3" t="s">
        <v>674</v>
      </c>
      <c r="AM31" s="3" t="s">
        <v>477</v>
      </c>
      <c r="AN31" s="3" t="s">
        <v>477</v>
      </c>
      <c r="AO31" s="3" t="s">
        <v>477</v>
      </c>
      <c r="AP31" s="3">
        <v>2</v>
      </c>
      <c r="AQ31" s="3" t="s">
        <v>675</v>
      </c>
      <c r="AR31" s="8" t="s">
        <v>490</v>
      </c>
      <c r="AS31" s="3" t="s">
        <v>326</v>
      </c>
      <c r="AT31" s="3" t="s">
        <v>306</v>
      </c>
      <c r="BB31" s="39"/>
      <c r="BC31" s="39"/>
      <c r="BO31" s="39"/>
    </row>
    <row r="32" spans="1:67" s="3" customFormat="1" ht="14.25" customHeight="1">
      <c r="A32" s="3">
        <f t="shared" si="26"/>
        <v>29</v>
      </c>
      <c r="B32" s="8">
        <v>29</v>
      </c>
      <c r="C32" s="8" t="s">
        <v>480</v>
      </c>
      <c r="D32" s="8" t="s">
        <v>514</v>
      </c>
      <c r="E32" s="3" t="s">
        <v>461</v>
      </c>
      <c r="F32" s="3" t="s">
        <v>386</v>
      </c>
      <c r="J32" s="9" t="s">
        <v>507</v>
      </c>
      <c r="K32" s="9" t="s">
        <v>508</v>
      </c>
      <c r="L32" s="9"/>
      <c r="M32" s="17">
        <v>575</v>
      </c>
      <c r="N32" s="17">
        <v>460</v>
      </c>
      <c r="O32" s="17">
        <v>49.5</v>
      </c>
      <c r="P32" s="17">
        <v>30</v>
      </c>
      <c r="Q32" s="17">
        <f t="shared" si="0"/>
        <v>79.5</v>
      </c>
      <c r="R32" s="75"/>
      <c r="S32" s="69"/>
      <c r="T32" s="17"/>
      <c r="U32" s="17"/>
      <c r="V32" s="17"/>
      <c r="W32" s="54" t="s">
        <v>490</v>
      </c>
      <c r="X32" s="9" t="s">
        <v>509</v>
      </c>
      <c r="Y32" s="22">
        <v>38992</v>
      </c>
      <c r="AJ32" s="27">
        <v>38985</v>
      </c>
      <c r="AK32" s="12">
        <v>0.5375</v>
      </c>
      <c r="AL32" s="3" t="s">
        <v>504</v>
      </c>
      <c r="AM32" s="3" t="s">
        <v>477</v>
      </c>
      <c r="AN32" s="3" t="s">
        <v>477</v>
      </c>
      <c r="AO32" s="3" t="s">
        <v>477</v>
      </c>
      <c r="AP32" s="3">
        <v>3</v>
      </c>
      <c r="AQ32" s="3" t="s">
        <v>510</v>
      </c>
      <c r="AR32" s="3" t="s">
        <v>490</v>
      </c>
      <c r="AS32" s="3" t="s">
        <v>330</v>
      </c>
      <c r="AT32" s="77" t="s">
        <v>308</v>
      </c>
      <c r="BB32" s="39"/>
      <c r="BC32" s="39"/>
      <c r="BO32" s="39"/>
    </row>
    <row r="33" spans="1:67" s="3" customFormat="1" ht="14.25" customHeight="1">
      <c r="A33" s="3">
        <f t="shared" si="26"/>
        <v>30</v>
      </c>
      <c r="B33" s="8">
        <v>30</v>
      </c>
      <c r="C33" s="8" t="s">
        <v>480</v>
      </c>
      <c r="D33" s="8" t="s">
        <v>574</v>
      </c>
      <c r="E33" s="3" t="s">
        <v>353</v>
      </c>
      <c r="F33" s="3" t="s">
        <v>354</v>
      </c>
      <c r="J33" s="9" t="s">
        <v>573</v>
      </c>
      <c r="K33" s="9" t="s">
        <v>573</v>
      </c>
      <c r="L33" s="9"/>
      <c r="M33" s="17">
        <v>197</v>
      </c>
      <c r="N33" s="17">
        <v>157.6</v>
      </c>
      <c r="O33" s="17">
        <v>49.8</v>
      </c>
      <c r="P33" s="17">
        <v>30</v>
      </c>
      <c r="Q33" s="17">
        <f t="shared" si="0"/>
        <v>79.8</v>
      </c>
      <c r="R33" s="75"/>
      <c r="S33" s="69"/>
      <c r="T33" s="17"/>
      <c r="U33" s="17"/>
      <c r="V33" s="17"/>
      <c r="W33" s="54" t="s">
        <v>490</v>
      </c>
      <c r="X33" s="9" t="s">
        <v>575</v>
      </c>
      <c r="Y33" s="22">
        <v>38988</v>
      </c>
      <c r="Z33" s="31"/>
      <c r="AA33" s="31"/>
      <c r="AB33" s="31"/>
      <c r="AC33" s="31"/>
      <c r="AD33" s="31"/>
      <c r="AE33" s="31"/>
      <c r="AF33" s="31"/>
      <c r="AG33" s="31"/>
      <c r="AH33" s="31"/>
      <c r="AI33" s="31"/>
      <c r="AJ33" s="27">
        <v>38985</v>
      </c>
      <c r="AK33" s="12">
        <v>0.4923611111111111</v>
      </c>
      <c r="AL33" s="3" t="s">
        <v>476</v>
      </c>
      <c r="AM33" s="3" t="s">
        <v>477</v>
      </c>
      <c r="AN33" s="3" t="s">
        <v>477</v>
      </c>
      <c r="AO33" s="3" t="s">
        <v>477</v>
      </c>
      <c r="AP33" s="3">
        <v>2</v>
      </c>
      <c r="AQ33" s="3" t="s">
        <v>576</v>
      </c>
      <c r="AR33" s="3" t="s">
        <v>490</v>
      </c>
      <c r="AS33" s="3" t="s">
        <v>331</v>
      </c>
      <c r="AT33" s="77" t="s">
        <v>309</v>
      </c>
      <c r="BB33" s="39"/>
      <c r="BC33" s="39"/>
      <c r="BO33" s="39"/>
    </row>
    <row r="34" spans="1:67" s="3" customFormat="1" ht="14.25" customHeight="1">
      <c r="A34" s="3">
        <f t="shared" si="26"/>
        <v>31</v>
      </c>
      <c r="B34" s="8">
        <v>36</v>
      </c>
      <c r="C34" s="8" t="s">
        <v>480</v>
      </c>
      <c r="D34" s="8" t="s">
        <v>550</v>
      </c>
      <c r="E34" s="3" t="s">
        <v>466</v>
      </c>
      <c r="F34" s="3" t="s">
        <v>355</v>
      </c>
      <c r="J34" s="9" t="s">
        <v>545</v>
      </c>
      <c r="K34" s="9" t="s">
        <v>546</v>
      </c>
      <c r="L34" s="9"/>
      <c r="M34" s="17">
        <v>937.5</v>
      </c>
      <c r="N34" s="17">
        <v>750</v>
      </c>
      <c r="O34" s="17">
        <v>50.5</v>
      </c>
      <c r="P34" s="17">
        <v>30</v>
      </c>
      <c r="Q34" s="17">
        <f t="shared" si="0"/>
        <v>80.5</v>
      </c>
      <c r="R34" s="75"/>
      <c r="S34" s="69"/>
      <c r="T34" s="17"/>
      <c r="U34" s="17"/>
      <c r="V34" s="17"/>
      <c r="W34" s="54" t="s">
        <v>490</v>
      </c>
      <c r="X34" s="9" t="s">
        <v>551</v>
      </c>
      <c r="Y34" s="22">
        <v>38992</v>
      </c>
      <c r="AJ34" s="27">
        <v>38985</v>
      </c>
      <c r="AK34" s="12">
        <v>0.7034722222222222</v>
      </c>
      <c r="AL34" s="3" t="s">
        <v>476</v>
      </c>
      <c r="AM34" s="3" t="s">
        <v>477</v>
      </c>
      <c r="AN34" s="3" t="s">
        <v>477</v>
      </c>
      <c r="AO34" s="3" t="s">
        <v>477</v>
      </c>
      <c r="AP34" s="3">
        <v>5</v>
      </c>
      <c r="AQ34" s="3" t="s">
        <v>340</v>
      </c>
      <c r="AR34" s="3" t="s">
        <v>490</v>
      </c>
      <c r="AS34" s="3" t="s">
        <v>344</v>
      </c>
      <c r="AT34" s="77" t="s">
        <v>320</v>
      </c>
      <c r="BB34" s="39"/>
      <c r="BC34" s="39"/>
      <c r="BO34" s="39"/>
    </row>
    <row r="35" spans="1:67" s="3" customFormat="1" ht="14.25" customHeight="1">
      <c r="A35" s="3">
        <f t="shared" si="26"/>
        <v>32</v>
      </c>
      <c r="B35" s="8">
        <v>2</v>
      </c>
      <c r="C35" s="8" t="s">
        <v>400</v>
      </c>
      <c r="D35" s="8" t="s">
        <v>588</v>
      </c>
      <c r="E35" s="3" t="s">
        <v>348</v>
      </c>
      <c r="F35" s="3" t="s">
        <v>349</v>
      </c>
      <c r="J35" s="9" t="s">
        <v>587</v>
      </c>
      <c r="K35" s="78" t="s">
        <v>421</v>
      </c>
      <c r="L35" s="78"/>
      <c r="M35" s="17">
        <v>920</v>
      </c>
      <c r="N35" s="17">
        <v>736</v>
      </c>
      <c r="O35" s="17">
        <f>45.5</f>
        <v>45.5</v>
      </c>
      <c r="P35" s="17">
        <v>30</v>
      </c>
      <c r="Q35" s="17">
        <f t="shared" si="0"/>
        <v>75.5</v>
      </c>
      <c r="R35" s="75"/>
      <c r="S35" s="69"/>
      <c r="T35" s="17"/>
      <c r="U35" s="17"/>
      <c r="V35" s="17"/>
      <c r="W35" s="54" t="s">
        <v>490</v>
      </c>
      <c r="X35" s="9" t="s">
        <v>589</v>
      </c>
      <c r="Y35" s="22">
        <v>38987</v>
      </c>
      <c r="Z35" s="31"/>
      <c r="AA35" s="31"/>
      <c r="AB35" s="31"/>
      <c r="AC35" s="31"/>
      <c r="AD35" s="31"/>
      <c r="AE35" s="31"/>
      <c r="AF35" s="31"/>
      <c r="AG35" s="31"/>
      <c r="AH35" s="31"/>
      <c r="AI35" s="31"/>
      <c r="AJ35" s="27">
        <v>38985</v>
      </c>
      <c r="AK35" s="12">
        <v>0.5006944444444444</v>
      </c>
      <c r="AL35" s="3" t="s">
        <v>407</v>
      </c>
      <c r="AM35" s="3" t="s">
        <v>477</v>
      </c>
      <c r="AN35" s="3" t="s">
        <v>477</v>
      </c>
      <c r="AO35" s="3" t="s">
        <v>477</v>
      </c>
      <c r="AP35" s="3">
        <v>7</v>
      </c>
      <c r="AQ35" s="3" t="s">
        <v>690</v>
      </c>
      <c r="AR35" s="8" t="s">
        <v>490</v>
      </c>
      <c r="AS35" s="3" t="s">
        <v>691</v>
      </c>
      <c r="AT35" s="77" t="s">
        <v>174</v>
      </c>
      <c r="BB35" s="39"/>
      <c r="BC35" s="39"/>
      <c r="BO35" s="39"/>
    </row>
    <row r="36" spans="1:83" s="113" customFormat="1" ht="14.25" customHeight="1">
      <c r="A36" s="3">
        <f t="shared" si="26"/>
        <v>33</v>
      </c>
      <c r="B36" s="80">
        <v>6</v>
      </c>
      <c r="C36" s="80" t="s">
        <v>400</v>
      </c>
      <c r="D36" s="80"/>
      <c r="E36" s="29" t="s">
        <v>388</v>
      </c>
      <c r="F36" s="29" t="s">
        <v>389</v>
      </c>
      <c r="G36" s="29"/>
      <c r="H36" s="29"/>
      <c r="I36" s="29"/>
      <c r="J36" s="81" t="s">
        <v>685</v>
      </c>
      <c r="K36" s="81"/>
      <c r="L36" s="81"/>
      <c r="M36" s="82"/>
      <c r="N36" s="82"/>
      <c r="O36" s="82">
        <v>0</v>
      </c>
      <c r="P36" s="82">
        <v>0</v>
      </c>
      <c r="Q36" s="17">
        <f t="shared" si="0"/>
        <v>0</v>
      </c>
      <c r="R36" s="75"/>
      <c r="S36" s="83"/>
      <c r="T36" s="82"/>
      <c r="U36" s="82"/>
      <c r="V36" s="82"/>
      <c r="W36" s="54" t="s">
        <v>490</v>
      </c>
      <c r="X36" s="81"/>
      <c r="Y36" s="84"/>
      <c r="Z36" s="29"/>
      <c r="AA36" s="29"/>
      <c r="AB36" s="29"/>
      <c r="AC36" s="29"/>
      <c r="AD36" s="29"/>
      <c r="AE36" s="29"/>
      <c r="AF36" s="29"/>
      <c r="AG36" s="29"/>
      <c r="AH36" s="29"/>
      <c r="AI36" s="29"/>
      <c r="AJ36" s="85"/>
      <c r="AK36" s="86"/>
      <c r="AL36" s="29"/>
      <c r="AM36" s="29"/>
      <c r="AN36" s="29"/>
      <c r="AO36" s="29"/>
      <c r="AP36" s="29"/>
      <c r="AQ36" s="29"/>
      <c r="AR36" s="29" t="s">
        <v>490</v>
      </c>
      <c r="AS36" s="29" t="s">
        <v>1</v>
      </c>
      <c r="AT36" s="77" t="s">
        <v>177</v>
      </c>
      <c r="AU36" s="29"/>
      <c r="AV36" s="29"/>
      <c r="AW36" s="29"/>
      <c r="AX36" s="29"/>
      <c r="AY36" s="29"/>
      <c r="AZ36" s="29"/>
      <c r="BA36" s="29"/>
      <c r="BB36" s="101"/>
      <c r="BC36" s="101"/>
      <c r="BD36" s="29"/>
      <c r="BE36" s="29"/>
      <c r="BF36" s="29"/>
      <c r="BG36" s="29"/>
      <c r="BH36" s="29"/>
      <c r="BI36" s="29"/>
      <c r="BJ36" s="29"/>
      <c r="BK36" s="29"/>
      <c r="BL36" s="29"/>
      <c r="BM36" s="29"/>
      <c r="BN36" s="29"/>
      <c r="BO36" s="101"/>
      <c r="BP36" s="29"/>
      <c r="BQ36" s="29"/>
      <c r="BR36" s="29"/>
      <c r="BS36" s="29"/>
      <c r="BT36" s="29"/>
      <c r="BU36" s="29"/>
      <c r="BV36" s="29"/>
      <c r="BW36" s="29"/>
      <c r="BX36" s="29"/>
      <c r="BY36" s="29"/>
      <c r="BZ36" s="29"/>
      <c r="CA36" s="29"/>
      <c r="CB36" s="29"/>
      <c r="CC36" s="29"/>
      <c r="CD36" s="29"/>
      <c r="CE36" s="29"/>
    </row>
    <row r="37" spans="1:67" s="3" customFormat="1" ht="14.25" customHeight="1">
      <c r="A37" s="3">
        <f t="shared" si="26"/>
        <v>34</v>
      </c>
      <c r="B37" s="8">
        <v>9</v>
      </c>
      <c r="C37" s="8" t="s">
        <v>400</v>
      </c>
      <c r="D37" s="8" t="s">
        <v>501</v>
      </c>
      <c r="E37" s="3" t="s">
        <v>505</v>
      </c>
      <c r="F37" s="3" t="s">
        <v>359</v>
      </c>
      <c r="J37" s="9" t="s">
        <v>500</v>
      </c>
      <c r="K37" s="9" t="s">
        <v>500</v>
      </c>
      <c r="L37" s="9"/>
      <c r="M37" s="17">
        <v>937.5</v>
      </c>
      <c r="N37" s="17">
        <v>750</v>
      </c>
      <c r="O37" s="17">
        <f>42</f>
        <v>42</v>
      </c>
      <c r="P37" s="17">
        <v>30</v>
      </c>
      <c r="Q37" s="17">
        <f t="shared" si="0"/>
        <v>72</v>
      </c>
      <c r="R37" s="75"/>
      <c r="S37" s="69"/>
      <c r="T37" s="17"/>
      <c r="U37" s="17"/>
      <c r="V37" s="17"/>
      <c r="W37" s="54" t="s">
        <v>490</v>
      </c>
      <c r="X37" s="9" t="s">
        <v>502</v>
      </c>
      <c r="Y37" s="22">
        <v>38989</v>
      </c>
      <c r="AJ37" s="27">
        <v>38985</v>
      </c>
      <c r="AK37" s="12">
        <v>0.5340277777777778</v>
      </c>
      <c r="AL37" s="3" t="s">
        <v>504</v>
      </c>
      <c r="AM37" s="3" t="s">
        <v>477</v>
      </c>
      <c r="AN37" s="3" t="s">
        <v>477</v>
      </c>
      <c r="AO37" s="3" t="s">
        <v>477</v>
      </c>
      <c r="AP37" s="3">
        <v>10</v>
      </c>
      <c r="AQ37" s="3" t="s">
        <v>506</v>
      </c>
      <c r="AR37" s="8" t="s">
        <v>490</v>
      </c>
      <c r="AS37" s="3" t="s">
        <v>121</v>
      </c>
      <c r="AT37" s="77" t="s">
        <v>182</v>
      </c>
      <c r="BB37" s="39"/>
      <c r="BC37" s="39"/>
      <c r="BO37" s="39"/>
    </row>
    <row r="38" spans="1:67" s="3" customFormat="1" ht="14.25" customHeight="1">
      <c r="A38" s="3">
        <f t="shared" si="26"/>
        <v>35</v>
      </c>
      <c r="B38" s="8">
        <v>11</v>
      </c>
      <c r="C38" s="8" t="s">
        <v>400</v>
      </c>
      <c r="D38" s="8" t="s">
        <v>655</v>
      </c>
      <c r="E38" s="3" t="s">
        <v>428</v>
      </c>
      <c r="F38" s="3" t="s">
        <v>302</v>
      </c>
      <c r="J38" s="9" t="s">
        <v>654</v>
      </c>
      <c r="K38" s="9" t="s">
        <v>512</v>
      </c>
      <c r="L38" s="9"/>
      <c r="M38" s="17">
        <v>916</v>
      </c>
      <c r="N38" s="17">
        <v>732</v>
      </c>
      <c r="O38" s="17">
        <v>43</v>
      </c>
      <c r="P38" s="17">
        <v>30</v>
      </c>
      <c r="Q38" s="17">
        <f t="shared" si="0"/>
        <v>73</v>
      </c>
      <c r="R38" s="75"/>
      <c r="S38" s="69"/>
      <c r="T38" s="17"/>
      <c r="U38" s="17"/>
      <c r="V38" s="17"/>
      <c r="W38" s="54" t="s">
        <v>490</v>
      </c>
      <c r="X38" s="9" t="s">
        <v>656</v>
      </c>
      <c r="Y38" s="22">
        <v>38988</v>
      </c>
      <c r="Z38" s="8" t="s">
        <v>404</v>
      </c>
      <c r="AJ38" s="27">
        <v>38983</v>
      </c>
      <c r="AK38" s="12">
        <v>0.4861111111111111</v>
      </c>
      <c r="AL38" s="3" t="s">
        <v>504</v>
      </c>
      <c r="AM38" s="3" t="s">
        <v>477</v>
      </c>
      <c r="AN38" s="3" t="s">
        <v>477</v>
      </c>
      <c r="AO38" s="3" t="s">
        <v>477</v>
      </c>
      <c r="AP38" s="3">
        <v>5</v>
      </c>
      <c r="AQ38" s="3" t="s">
        <v>657</v>
      </c>
      <c r="AR38" s="8" t="s">
        <v>490</v>
      </c>
      <c r="AS38" s="3" t="s">
        <v>123</v>
      </c>
      <c r="AT38" s="77" t="s">
        <v>185</v>
      </c>
      <c r="BB38" s="39"/>
      <c r="BC38" s="39"/>
      <c r="BO38" s="39"/>
    </row>
    <row r="39" spans="1:67" s="3" customFormat="1" ht="14.25" customHeight="1">
      <c r="A39" s="3">
        <f t="shared" si="26"/>
        <v>36</v>
      </c>
      <c r="B39" s="8">
        <v>16</v>
      </c>
      <c r="C39" s="8" t="s">
        <v>400</v>
      </c>
      <c r="D39" s="8" t="s">
        <v>547</v>
      </c>
      <c r="E39" s="3" t="s">
        <v>451</v>
      </c>
      <c r="F39" s="3" t="s">
        <v>460</v>
      </c>
      <c r="J39" s="9" t="s">
        <v>545</v>
      </c>
      <c r="K39" s="9" t="s">
        <v>546</v>
      </c>
      <c r="L39" s="9"/>
      <c r="M39" s="17">
        <v>925</v>
      </c>
      <c r="N39" s="17">
        <v>729</v>
      </c>
      <c r="O39" s="17">
        <v>48.25</v>
      </c>
      <c r="P39" s="17">
        <v>30</v>
      </c>
      <c r="Q39" s="17">
        <f t="shared" si="0"/>
        <v>78.25</v>
      </c>
      <c r="R39" s="75"/>
      <c r="S39" s="69"/>
      <c r="T39" s="17"/>
      <c r="U39" s="17"/>
      <c r="V39" s="17"/>
      <c r="W39" s="54" t="s">
        <v>490</v>
      </c>
      <c r="X39" s="9" t="s">
        <v>548</v>
      </c>
      <c r="Y39" s="22">
        <v>38988</v>
      </c>
      <c r="AJ39" s="27">
        <v>38985</v>
      </c>
      <c r="AK39" s="12">
        <v>0.5458333333333333</v>
      </c>
      <c r="AL39" s="3" t="s">
        <v>476</v>
      </c>
      <c r="AM39" s="3" t="s">
        <v>477</v>
      </c>
      <c r="AN39" s="3" t="s">
        <v>477</v>
      </c>
      <c r="AO39" s="3" t="s">
        <v>477</v>
      </c>
      <c r="AP39" s="3">
        <v>6</v>
      </c>
      <c r="AQ39" s="3" t="s">
        <v>549</v>
      </c>
      <c r="AR39" s="3" t="s">
        <v>490</v>
      </c>
      <c r="AS39" s="3" t="s">
        <v>134</v>
      </c>
      <c r="AT39" s="77" t="s">
        <v>191</v>
      </c>
      <c r="BB39" s="39"/>
      <c r="BC39" s="39"/>
      <c r="BO39" s="39"/>
    </row>
    <row r="40" spans="1:67" s="3" customFormat="1" ht="14.25" customHeight="1">
      <c r="A40" s="3">
        <f t="shared" si="26"/>
        <v>37</v>
      </c>
      <c r="B40" s="8">
        <v>23</v>
      </c>
      <c r="C40" s="8" t="s">
        <v>400</v>
      </c>
      <c r="D40" s="8" t="s">
        <v>531</v>
      </c>
      <c r="E40" s="3" t="s">
        <v>456</v>
      </c>
      <c r="F40" s="3" t="s">
        <v>528</v>
      </c>
      <c r="J40" s="9" t="s">
        <v>529</v>
      </c>
      <c r="K40" s="9" t="s">
        <v>530</v>
      </c>
      <c r="L40" s="9"/>
      <c r="M40" s="17">
        <v>937.5</v>
      </c>
      <c r="N40" s="17">
        <v>750</v>
      </c>
      <c r="O40" s="17">
        <v>48.7</v>
      </c>
      <c r="P40" s="17">
        <v>30</v>
      </c>
      <c r="Q40" s="17">
        <f t="shared" si="0"/>
        <v>78.7</v>
      </c>
      <c r="R40" s="75"/>
      <c r="S40" s="69"/>
      <c r="T40" s="17"/>
      <c r="U40" s="17"/>
      <c r="V40" s="17"/>
      <c r="W40" s="54" t="s">
        <v>490</v>
      </c>
      <c r="X40" s="9" t="s">
        <v>532</v>
      </c>
      <c r="Y40" s="22">
        <v>38992</v>
      </c>
      <c r="Z40" s="8" t="s">
        <v>406</v>
      </c>
      <c r="AJ40" s="27">
        <v>38985</v>
      </c>
      <c r="AK40" s="12">
        <v>0.6854166666666667</v>
      </c>
      <c r="AL40" s="3" t="s">
        <v>476</v>
      </c>
      <c r="AM40" s="3" t="s">
        <v>477</v>
      </c>
      <c r="AN40" s="3" t="s">
        <v>477</v>
      </c>
      <c r="AO40" s="3" t="s">
        <v>477</v>
      </c>
      <c r="AP40" s="3">
        <v>6</v>
      </c>
      <c r="AQ40" s="3" t="s">
        <v>533</v>
      </c>
      <c r="AR40" s="3" t="s">
        <v>490</v>
      </c>
      <c r="AS40" s="3" t="s">
        <v>324</v>
      </c>
      <c r="AT40" s="77" t="s">
        <v>208</v>
      </c>
      <c r="BB40" s="39"/>
      <c r="BC40" s="39"/>
      <c r="BO40" s="39"/>
    </row>
    <row r="41" spans="13:23" ht="15" customHeight="1">
      <c r="M41" s="41">
        <f>SUM(M3:M40)</f>
        <v>44066.985</v>
      </c>
      <c r="N41" s="41">
        <f>SUM(N3:N40)</f>
        <v>34809.96400000001</v>
      </c>
      <c r="O41" s="60"/>
      <c r="P41" s="60"/>
      <c r="Q41" s="60"/>
      <c r="R41" s="66"/>
      <c r="S41" s="66">
        <f>SUBTOTAL(9,N41)</f>
        <v>34809.96400000001</v>
      </c>
      <c r="T41" s="60"/>
      <c r="U41" s="60"/>
      <c r="V41" s="60"/>
      <c r="W41" s="60">
        <f>SUBTOTAL(9,W3:W31)</f>
        <v>0</v>
      </c>
    </row>
    <row r="43" spans="13:37" ht="12">
      <c r="M43" s="41"/>
      <c r="N43" s="41"/>
      <c r="O43" s="60"/>
      <c r="P43" s="60"/>
      <c r="Q43" s="60"/>
      <c r="R43" s="66"/>
      <c r="S43" s="66"/>
      <c r="T43" s="60"/>
      <c r="U43" s="60"/>
      <c r="V43" s="60"/>
      <c r="W43" s="60"/>
      <c r="X43" s="45" t="s">
        <v>139</v>
      </c>
      <c r="Y43" s="46" t="s">
        <v>138</v>
      </c>
      <c r="Z43" s="34"/>
      <c r="AA43" s="34"/>
      <c r="AB43" s="34"/>
      <c r="AC43" s="34"/>
      <c r="AD43" s="34"/>
      <c r="AE43" s="34"/>
      <c r="AF43" s="34"/>
      <c r="AG43" s="34"/>
      <c r="AH43" s="34"/>
      <c r="AI43" s="34"/>
      <c r="AJ43" s="47" t="s">
        <v>137</v>
      </c>
      <c r="AK43" s="48" t="s">
        <v>136</v>
      </c>
    </row>
    <row r="44" spans="4:37" ht="12">
      <c r="D44" s="34">
        <v>9</v>
      </c>
      <c r="M44" s="50" t="s">
        <v>468</v>
      </c>
      <c r="N44" s="18">
        <f>SUBTOTAL(9,N3:N37)</f>
        <v>32598.964000000004</v>
      </c>
      <c r="X44" s="42">
        <v>6443.3</v>
      </c>
      <c r="Y44" s="43">
        <v>5000</v>
      </c>
      <c r="AJ44" s="43">
        <f>X44-Y44</f>
        <v>1443.3000000000002</v>
      </c>
      <c r="AK44" s="43">
        <f>+AJ44+(AJ46/2)</f>
        <v>772.3000000000002</v>
      </c>
    </row>
    <row r="45" spans="4:37" ht="12">
      <c r="D45" s="34">
        <v>5</v>
      </c>
      <c r="M45" s="50" t="s">
        <v>480</v>
      </c>
      <c r="N45" s="18">
        <f>SUBTOTAL(9,N6:N26)</f>
        <v>24886.160000000003</v>
      </c>
      <c r="X45" s="42">
        <v>3563.09</v>
      </c>
      <c r="Y45" s="43">
        <v>2500</v>
      </c>
      <c r="AJ45" s="43">
        <f>X45-Y45</f>
        <v>1063.0900000000001</v>
      </c>
      <c r="AK45" s="43">
        <f>AJ45+(AJ46/2)</f>
        <v>392.09000000000015</v>
      </c>
    </row>
    <row r="46" spans="4:37" ht="12">
      <c r="D46" s="34">
        <v>2</v>
      </c>
      <c r="M46" s="50" t="s">
        <v>400</v>
      </c>
      <c r="N46" s="18">
        <f>SUBTOTAL(9,N4:N5)</f>
        <v>1257.44</v>
      </c>
      <c r="X46" s="42">
        <v>1158</v>
      </c>
      <c r="Y46" s="43">
        <v>2500</v>
      </c>
      <c r="AJ46" s="43">
        <f>X46-Y46</f>
        <v>-1342</v>
      </c>
      <c r="AK46" s="43">
        <v>0</v>
      </c>
    </row>
    <row r="47" spans="4:37" ht="12">
      <c r="D47" s="34">
        <f>SUBTOTAL(9,D44:D46)</f>
        <v>16</v>
      </c>
      <c r="N47" s="49" t="s">
        <v>170</v>
      </c>
      <c r="O47" s="49"/>
      <c r="P47" s="49"/>
      <c r="Q47" s="49"/>
      <c r="R47" s="68"/>
      <c r="S47" s="68"/>
      <c r="T47" s="49"/>
      <c r="U47" s="49"/>
      <c r="V47" s="49"/>
      <c r="W47" s="49"/>
      <c r="X47" s="43">
        <f>SUBTOTAL(9,X44:X46)</f>
        <v>11164.39</v>
      </c>
      <c r="Y47" s="43">
        <f>SUBTOTAL(9,Y44:Y46)</f>
        <v>10000</v>
      </c>
      <c r="AJ47" s="43">
        <f>SUBTOTAL(9,AJ44:AJ46)</f>
        <v>1164.3900000000003</v>
      </c>
      <c r="AK47" s="43">
        <f>SUBTOTAL(9,AK44:AK46)</f>
        <v>1164.3900000000003</v>
      </c>
    </row>
    <row r="48" ht="12">
      <c r="Y48" s="23"/>
    </row>
    <row r="49" ht="12">
      <c r="Y49" s="23"/>
    </row>
    <row r="50" ht="12">
      <c r="Y50" s="23"/>
    </row>
    <row r="51" ht="12">
      <c r="Y51" s="23"/>
    </row>
    <row r="52" ht="12">
      <c r="Y52" s="23"/>
    </row>
    <row r="53" ht="12">
      <c r="Y53" s="23"/>
    </row>
    <row r="54" ht="12">
      <c r="Y54" s="23"/>
    </row>
    <row r="55" ht="12">
      <c r="Y55" s="23"/>
    </row>
  </sheetData>
  <sheetProtection/>
  <autoFilter ref="A2:AT40"/>
  <mergeCells count="8">
    <mergeCell ref="EF1:EN1"/>
    <mergeCell ref="EF19:EN19"/>
    <mergeCell ref="DS1:EE1"/>
    <mergeCell ref="DF1:DR1"/>
    <mergeCell ref="BK1:BR1"/>
    <mergeCell ref="BS1:CE1"/>
    <mergeCell ref="CF1:CR1"/>
    <mergeCell ref="CS1:DE1"/>
  </mergeCells>
  <hyperlinks>
    <hyperlink ref="L6" r:id="rId1" display="mailto:s.fioriello@lettere.uniba.it"/>
    <hyperlink ref="L5" r:id="rId2" display="masciti@forcom.it"/>
    <hyperlink ref="L9" r:id="rId3" display="e.bosna@sc-formaz.uniba.it"/>
    <hyperlink ref="L12" r:id="rId4" display="giovanni.aloisio@unile.it"/>
    <hyperlink ref="L16" r:id="rId5" display="p.masini@poliba.it"/>
    <hyperlink ref="L18" r:id="rId6" display="vincenzo.zonno@unile.it"/>
    <hyperlink ref="L7" r:id="rId7" display="marcello.guaitoli@unile.it"/>
  </hyperlinks>
  <printOptions gridLines="1" horizontalCentered="1"/>
  <pageMargins left="0.15748031496062992" right="0.06" top="0.3937007874015748" bottom="0.1968503937007874" header="0.15748031496062992" footer="0.11811023622047245"/>
  <pageSetup horizontalDpi="300" verticalDpi="300" orientation="landscape" paperSize="9" scale="70" r:id="rId10"/>
  <headerFooter alignWithMargins="0">
    <oddHeader>&amp;CProgetti Piloti
Progetti proposti per ciascuna Area Tematica</oddHeader>
    <oddFooter>&amp;R&amp;P</oddFooter>
  </headerFooter>
  <legacyDrawing r:id="rId9"/>
</worksheet>
</file>

<file path=xl/worksheets/sheet10.xml><?xml version="1.0" encoding="utf-8"?>
<worksheet xmlns="http://schemas.openxmlformats.org/spreadsheetml/2006/main" xmlns:r="http://schemas.openxmlformats.org/officeDocument/2006/relationships">
  <sheetPr>
    <tabColor theme="9"/>
  </sheetPr>
  <dimension ref="A3:N73"/>
  <sheetViews>
    <sheetView zoomScalePageLayoutView="0" workbookViewId="0" topLeftCell="A4">
      <selection activeCell="G43" sqref="G43"/>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22.8515625" style="0" customWidth="1"/>
    <col min="9" max="9" width="18.421875" style="0" bestFit="1" customWidth="1"/>
    <col min="10" max="10" width="15.28125" style="0" bestFit="1" customWidth="1"/>
    <col min="11" max="11" width="13.8515625" style="0" bestFit="1" customWidth="1"/>
    <col min="12" max="12" width="27.00390625" style="0" bestFit="1" customWidth="1"/>
    <col min="13" max="13" width="13.57421875" style="0" bestFit="1" customWidth="1"/>
    <col min="14" max="14" width="14.8515625" style="0" bestFit="1" customWidth="1"/>
  </cols>
  <sheetData>
    <row r="2" ht="13.5" thickBot="1"/>
    <row r="3" spans="2:4" ht="13.5" thickBot="1">
      <c r="B3" s="351" t="s">
        <v>652</v>
      </c>
      <c r="C3" s="352"/>
      <c r="D3" s="146">
        <v>790000</v>
      </c>
    </row>
    <row r="4" spans="2:4" ht="12.75">
      <c r="B4" s="138" t="s">
        <v>71</v>
      </c>
      <c r="C4" s="159">
        <v>632000</v>
      </c>
      <c r="D4" s="147"/>
    </row>
    <row r="5" spans="2:4" ht="12.75">
      <c r="B5" s="132" t="s">
        <v>72</v>
      </c>
      <c r="C5" s="154">
        <f>5*C4/100</f>
        <v>31600</v>
      </c>
      <c r="D5" s="132"/>
    </row>
    <row r="6" spans="2:3" ht="12.75">
      <c r="B6" s="132" t="s">
        <v>75</v>
      </c>
      <c r="C6" s="133">
        <f>95*C4/100</f>
        <v>600400</v>
      </c>
    </row>
    <row r="7" spans="2:4" ht="13.5" thickBot="1">
      <c r="B7" s="132" t="s">
        <v>74</v>
      </c>
      <c r="C7" s="154">
        <f>30*C4/100</f>
        <v>189600</v>
      </c>
      <c r="D7" s="132"/>
    </row>
    <row r="8" spans="2:12" ht="13.5" thickBot="1">
      <c r="B8" s="132" t="s">
        <v>73</v>
      </c>
      <c r="C8" s="139">
        <f>65*C4/100</f>
        <v>410800</v>
      </c>
      <c r="D8" s="353" t="s">
        <v>154</v>
      </c>
      <c r="E8" s="151" t="s">
        <v>143</v>
      </c>
      <c r="F8" s="355" t="s">
        <v>684</v>
      </c>
      <c r="G8" s="356"/>
      <c r="H8" s="357" t="s">
        <v>147</v>
      </c>
      <c r="I8" s="358"/>
      <c r="J8" s="359"/>
      <c r="K8" s="167" t="s">
        <v>148</v>
      </c>
      <c r="L8" s="168" t="s">
        <v>149</v>
      </c>
    </row>
    <row r="9" spans="2:13" ht="13.5" thickBot="1">
      <c r="B9" s="134" t="s">
        <v>77</v>
      </c>
      <c r="C9" s="139">
        <f>C10+C11+C12+C13+C14</f>
        <v>419831.608</v>
      </c>
      <c r="D9" s="354"/>
      <c r="E9" s="157">
        <f>SUM(E10:E15)</f>
        <v>541038.93</v>
      </c>
      <c r="F9" s="153" t="s">
        <v>141</v>
      </c>
      <c r="G9" s="148" t="s">
        <v>142</v>
      </c>
      <c r="H9" s="149" t="s">
        <v>144</v>
      </c>
      <c r="I9" s="150" t="s">
        <v>145</v>
      </c>
      <c r="J9" s="150" t="s">
        <v>147</v>
      </c>
      <c r="K9" s="370" t="s">
        <v>150</v>
      </c>
      <c r="L9" s="361"/>
      <c r="M9" s="150" t="s">
        <v>146</v>
      </c>
    </row>
    <row r="10" spans="2:13" ht="12.75">
      <c r="B10" s="134" t="s">
        <v>76</v>
      </c>
      <c r="C10" s="133">
        <f>E10*80/100</f>
        <v>107209.6</v>
      </c>
      <c r="D10" s="156" t="s">
        <v>151</v>
      </c>
      <c r="E10" s="158">
        <f aca="true" t="shared" si="0" ref="E10:E15">SUM(F10:M10)</f>
        <v>134012</v>
      </c>
      <c r="F10" s="152"/>
      <c r="G10" s="152">
        <f>105000+2500</f>
        <v>107500</v>
      </c>
      <c r="H10" s="152"/>
      <c r="I10" s="152" t="s">
        <v>156</v>
      </c>
      <c r="J10" s="152">
        <f>350+4306.54</f>
        <v>4656.54</v>
      </c>
      <c r="K10" s="362"/>
      <c r="L10" s="364"/>
      <c r="M10" s="152">
        <v>21855.46</v>
      </c>
    </row>
    <row r="11" spans="2:13" ht="12.75">
      <c r="B11" s="134" t="s">
        <v>78</v>
      </c>
      <c r="C11" s="184">
        <f>E11*80/100</f>
        <v>17840</v>
      </c>
      <c r="D11" s="185" t="s">
        <v>153</v>
      </c>
      <c r="E11" s="186">
        <f t="shared" si="0"/>
        <v>22300</v>
      </c>
      <c r="F11" s="187"/>
      <c r="G11" s="187">
        <v>22300</v>
      </c>
      <c r="H11" s="187"/>
      <c r="I11" s="187"/>
      <c r="J11" s="187"/>
      <c r="K11" s="379"/>
      <c r="L11" s="380"/>
      <c r="M11" s="187"/>
    </row>
    <row r="12" spans="1:13" ht="12.75">
      <c r="A12" s="135"/>
      <c r="B12" s="200" t="s">
        <v>79</v>
      </c>
      <c r="C12" s="184">
        <f>E12*80/100</f>
        <v>97538.81599999999</v>
      </c>
      <c r="D12" s="155" t="s">
        <v>152</v>
      </c>
      <c r="E12" s="186">
        <f t="shared" si="0"/>
        <v>121923.52</v>
      </c>
      <c r="F12" s="187">
        <v>73523.52</v>
      </c>
      <c r="G12" s="187">
        <v>4000</v>
      </c>
      <c r="H12" s="187"/>
      <c r="I12" s="187"/>
      <c r="J12" s="187"/>
      <c r="K12" s="348">
        <v>37000</v>
      </c>
      <c r="L12" s="350"/>
      <c r="M12" s="187">
        <v>7400</v>
      </c>
    </row>
    <row r="13" spans="2:13" ht="12.75">
      <c r="B13" s="134" t="s">
        <v>237</v>
      </c>
      <c r="C13" s="184">
        <f>E13*80/100</f>
        <v>94615.84800000001</v>
      </c>
      <c r="D13" s="155" t="s">
        <v>223</v>
      </c>
      <c r="E13" s="186">
        <f t="shared" si="0"/>
        <v>118269.81</v>
      </c>
      <c r="F13" s="187">
        <v>7072.95</v>
      </c>
      <c r="G13" s="187">
        <v>26300</v>
      </c>
      <c r="H13" s="210"/>
      <c r="I13" s="210"/>
      <c r="J13" s="221">
        <v>5696.86</v>
      </c>
      <c r="K13" s="348">
        <v>66000</v>
      </c>
      <c r="L13" s="350"/>
      <c r="M13" s="187">
        <v>13200</v>
      </c>
    </row>
    <row r="14" spans="2:14" ht="12.75">
      <c r="B14" s="134" t="s">
        <v>369</v>
      </c>
      <c r="C14" s="184">
        <f>E14*80/100</f>
        <v>102627.34399999998</v>
      </c>
      <c r="D14" s="180" t="s">
        <v>372</v>
      </c>
      <c r="E14" s="186">
        <f t="shared" si="0"/>
        <v>128284.18</v>
      </c>
      <c r="F14" s="187"/>
      <c r="G14" s="187">
        <v>42752</v>
      </c>
      <c r="H14" s="187"/>
      <c r="I14" s="187"/>
      <c r="J14" s="187">
        <v>5532.18</v>
      </c>
      <c r="K14" s="348">
        <v>80000</v>
      </c>
      <c r="L14" s="350"/>
      <c r="M14" s="240"/>
      <c r="N14" s="199"/>
    </row>
    <row r="15" spans="2:14" ht="13.5" thickBot="1">
      <c r="B15" s="134"/>
      <c r="C15" s="184"/>
      <c r="D15" s="155"/>
      <c r="E15" s="186">
        <f t="shared" si="0"/>
        <v>16249.42</v>
      </c>
      <c r="F15" s="187">
        <v>1995</v>
      </c>
      <c r="G15" s="187">
        <v>6000</v>
      </c>
      <c r="H15" s="187"/>
      <c r="I15" s="187"/>
      <c r="J15" s="187">
        <v>8254.42</v>
      </c>
      <c r="K15" s="187"/>
      <c r="L15" s="187"/>
      <c r="M15" s="187"/>
      <c r="N15" s="199"/>
    </row>
    <row r="16" spans="2:3" ht="12.75">
      <c r="B16" s="145" t="s">
        <v>80</v>
      </c>
      <c r="C16" s="141">
        <f>10*D3/100</f>
        <v>79000</v>
      </c>
    </row>
    <row r="17" spans="2:14" ht="12.75">
      <c r="B17" s="134" t="s">
        <v>82</v>
      </c>
      <c r="C17" s="140">
        <f>C18+C19+C20+C21+C22</f>
        <v>79090</v>
      </c>
      <c r="F17" s="164"/>
      <c r="G17" s="164"/>
      <c r="H17" s="164"/>
      <c r="J17" s="164"/>
      <c r="K17" s="164"/>
      <c r="L17" s="284"/>
      <c r="M17" s="285"/>
      <c r="N17" s="164"/>
    </row>
    <row r="18" spans="2:14" ht="12.75">
      <c r="B18" s="142" t="s">
        <v>81</v>
      </c>
      <c r="C18" s="133"/>
      <c r="F18" s="164"/>
      <c r="G18" s="164"/>
      <c r="J18" s="164"/>
      <c r="K18" s="164"/>
      <c r="L18" s="284"/>
      <c r="M18" s="285"/>
      <c r="N18" s="164"/>
    </row>
    <row r="19" spans="2:14" ht="12.75">
      <c r="B19" s="142" t="s">
        <v>83</v>
      </c>
      <c r="C19" s="133">
        <v>22300</v>
      </c>
      <c r="F19" s="164"/>
      <c r="G19" s="164"/>
      <c r="H19" s="164"/>
      <c r="L19" s="164"/>
      <c r="N19" s="164"/>
    </row>
    <row r="20" spans="2:3" ht="12.75">
      <c r="B20" s="142" t="s">
        <v>84</v>
      </c>
      <c r="C20" s="133"/>
    </row>
    <row r="21" spans="2:3" ht="12.75">
      <c r="B21" s="142" t="s">
        <v>225</v>
      </c>
      <c r="C21" s="133">
        <v>26300</v>
      </c>
    </row>
    <row r="22" spans="2:3" ht="13.5" thickBot="1">
      <c r="B22" s="142" t="s">
        <v>370</v>
      </c>
      <c r="C22" s="144">
        <v>30490</v>
      </c>
    </row>
    <row r="23" spans="2:3" ht="12.75">
      <c r="B23" s="145" t="s">
        <v>273</v>
      </c>
      <c r="C23" s="141">
        <v>35040</v>
      </c>
    </row>
    <row r="24" spans="2:3" ht="12.75">
      <c r="B24" s="134" t="s">
        <v>274</v>
      </c>
      <c r="C24" s="140">
        <f>C25+C26+C27+C28+C29</f>
        <v>15885.58</v>
      </c>
    </row>
    <row r="25" spans="2:3" ht="12.75">
      <c r="B25" s="142" t="s">
        <v>275</v>
      </c>
      <c r="C25" s="133">
        <v>4656.54</v>
      </c>
    </row>
    <row r="26" spans="2:3" ht="12.75">
      <c r="B26" s="142" t="s">
        <v>276</v>
      </c>
      <c r="C26" s="133"/>
    </row>
    <row r="27" spans="2:5" ht="13.5" thickBot="1">
      <c r="B27" s="142" t="s">
        <v>277</v>
      </c>
      <c r="C27" s="133"/>
      <c r="E27" s="220"/>
    </row>
    <row r="28" spans="2:12" ht="12.75">
      <c r="B28" s="142" t="s">
        <v>224</v>
      </c>
      <c r="C28" s="184">
        <v>5696.86</v>
      </c>
      <c r="D28" s="132"/>
      <c r="E28" s="346" t="s">
        <v>361</v>
      </c>
      <c r="F28" s="346" t="s">
        <v>374</v>
      </c>
      <c r="G28" s="346" t="s">
        <v>375</v>
      </c>
      <c r="H28" s="346" t="s">
        <v>380</v>
      </c>
      <c r="I28" s="346" t="s">
        <v>376</v>
      </c>
      <c r="J28" s="346" t="s">
        <v>379</v>
      </c>
      <c r="K28" s="346" t="s">
        <v>377</v>
      </c>
      <c r="L28" s="224" t="s">
        <v>378</v>
      </c>
    </row>
    <row r="29" spans="2:12" ht="13.5" thickBot="1">
      <c r="B29" s="241" t="s">
        <v>371</v>
      </c>
      <c r="C29" s="144">
        <v>5532.18</v>
      </c>
      <c r="E29" s="347"/>
      <c r="F29" s="347"/>
      <c r="G29" s="347"/>
      <c r="H29" s="347"/>
      <c r="I29" s="347"/>
      <c r="J29" s="347"/>
      <c r="K29" s="347"/>
      <c r="L29" s="225"/>
    </row>
    <row r="30" spans="4:12" ht="15.75" thickBot="1">
      <c r="D30" s="231" t="s">
        <v>56</v>
      </c>
      <c r="E30" s="229">
        <v>260000</v>
      </c>
      <c r="F30" s="226">
        <v>310000</v>
      </c>
      <c r="G30" s="226">
        <v>50000</v>
      </c>
      <c r="H30" s="226">
        <v>0</v>
      </c>
      <c r="I30" s="226">
        <v>25000</v>
      </c>
      <c r="J30" s="226">
        <v>120000</v>
      </c>
      <c r="K30" s="226">
        <v>25000</v>
      </c>
      <c r="L30" s="226">
        <f>SUM(E30:K30)</f>
        <v>790000</v>
      </c>
    </row>
    <row r="31" spans="4:12" ht="15.75" thickBot="1">
      <c r="D31" s="232" t="s">
        <v>55</v>
      </c>
      <c r="E31" s="233">
        <v>114000</v>
      </c>
      <c r="F31" s="234">
        <v>83030</v>
      </c>
      <c r="G31" s="234">
        <v>45530</v>
      </c>
      <c r="H31" s="234">
        <v>462150</v>
      </c>
      <c r="I31" s="234">
        <v>22790</v>
      </c>
      <c r="J31" s="234">
        <v>24460</v>
      </c>
      <c r="K31" s="234">
        <v>38040</v>
      </c>
      <c r="L31" s="234">
        <f>SUM(E31:K31)</f>
        <v>790000</v>
      </c>
    </row>
    <row r="32" spans="5:12" ht="13.5" thickBot="1">
      <c r="E32" s="230">
        <f>SUM(E33:E36)</f>
        <v>80596.47</v>
      </c>
      <c r="F32" s="230">
        <f aca="true" t="shared" si="1" ref="F32:K32">SUM(F33:F36)</f>
        <v>55100</v>
      </c>
      <c r="G32" s="230">
        <f t="shared" si="1"/>
        <v>0</v>
      </c>
      <c r="H32" s="230">
        <f t="shared" si="1"/>
        <v>249600</v>
      </c>
      <c r="I32" s="230">
        <f t="shared" si="1"/>
        <v>0</v>
      </c>
      <c r="J32" s="230">
        <f t="shared" si="1"/>
        <v>0</v>
      </c>
      <c r="K32" s="230">
        <f t="shared" si="1"/>
        <v>11208.86</v>
      </c>
      <c r="L32" s="230">
        <f>SUM(L33:L38)</f>
        <v>541038.93</v>
      </c>
    </row>
    <row r="33" spans="5:12" ht="13.5" thickBot="1">
      <c r="E33" s="227"/>
      <c r="F33" s="228">
        <v>2500</v>
      </c>
      <c r="G33" s="228"/>
      <c r="H33" s="228">
        <v>126000</v>
      </c>
      <c r="I33" s="228"/>
      <c r="J33" s="228"/>
      <c r="K33" s="228">
        <v>5512</v>
      </c>
      <c r="L33" s="223">
        <f aca="true" t="shared" si="2" ref="L33:L38">SUM(E33:K33)</f>
        <v>134012</v>
      </c>
    </row>
    <row r="34" spans="5:12" ht="13.5" thickBot="1">
      <c r="E34" s="227"/>
      <c r="F34" s="228">
        <v>22300</v>
      </c>
      <c r="G34" s="228"/>
      <c r="H34" s="228"/>
      <c r="I34" s="228"/>
      <c r="J34" s="228"/>
      <c r="K34" s="228"/>
      <c r="L34" s="223">
        <f t="shared" si="2"/>
        <v>22300</v>
      </c>
    </row>
    <row r="35" spans="5:12" ht="13.5" thickBot="1">
      <c r="E35" s="227">
        <v>73523.52</v>
      </c>
      <c r="F35" s="228">
        <v>4000</v>
      </c>
      <c r="G35" s="228"/>
      <c r="H35" s="228">
        <v>44400</v>
      </c>
      <c r="I35" s="228"/>
      <c r="J35" s="228"/>
      <c r="K35" s="228"/>
      <c r="L35" s="223">
        <f t="shared" si="2"/>
        <v>121923.52</v>
      </c>
    </row>
    <row r="36" spans="5:12" ht="13.5" thickBot="1">
      <c r="E36" s="227">
        <v>7072.95</v>
      </c>
      <c r="F36" s="228">
        <v>26300</v>
      </c>
      <c r="G36" s="228"/>
      <c r="H36" s="228">
        <v>79200</v>
      </c>
      <c r="I36" s="228"/>
      <c r="J36" s="228"/>
      <c r="K36" s="228">
        <v>5696.86</v>
      </c>
      <c r="L36" s="223">
        <f t="shared" si="2"/>
        <v>118269.81</v>
      </c>
    </row>
    <row r="37" spans="5:12" ht="13.5" thickBot="1">
      <c r="E37" s="227"/>
      <c r="F37" s="227">
        <v>42752</v>
      </c>
      <c r="G37" s="227"/>
      <c r="H37" s="227">
        <v>80000</v>
      </c>
      <c r="I37" s="227"/>
      <c r="J37" s="227"/>
      <c r="K37" s="227">
        <v>5532.18</v>
      </c>
      <c r="L37" s="223">
        <f t="shared" si="2"/>
        <v>128284.18</v>
      </c>
    </row>
    <row r="38" spans="5:12" ht="13.5" thickBot="1">
      <c r="E38" s="227">
        <v>1995</v>
      </c>
      <c r="F38" s="227">
        <v>6000</v>
      </c>
      <c r="G38" s="227"/>
      <c r="H38" s="227"/>
      <c r="I38" s="227"/>
      <c r="J38" s="227"/>
      <c r="K38" s="227">
        <v>8254.42</v>
      </c>
      <c r="L38" s="223">
        <f t="shared" si="2"/>
        <v>16249.42</v>
      </c>
    </row>
    <row r="39" spans="2:4" ht="12.75">
      <c r="B39" s="263"/>
      <c r="C39" s="256"/>
      <c r="D39" s="262">
        <v>541038.93</v>
      </c>
    </row>
    <row r="40" spans="2:4" ht="12.75">
      <c r="B40" s="264" t="s">
        <v>71</v>
      </c>
      <c r="C40" s="154">
        <f>D39*80/100</f>
        <v>432831.1440000001</v>
      </c>
      <c r="D40" s="258"/>
    </row>
    <row r="41" spans="2:4" ht="12.75">
      <c r="B41" s="265" t="s">
        <v>72</v>
      </c>
      <c r="C41" s="257">
        <f>5*C40/100</f>
        <v>21641.557200000007</v>
      </c>
      <c r="D41" s="259"/>
    </row>
    <row r="42" spans="2:4" ht="12.75">
      <c r="B42" s="265" t="s">
        <v>75</v>
      </c>
      <c r="C42" s="257">
        <f>95*C40/100</f>
        <v>411189.58680000005</v>
      </c>
      <c r="D42" s="259"/>
    </row>
    <row r="43" spans="2:4" ht="12.75">
      <c r="B43" s="265" t="s">
        <v>74</v>
      </c>
      <c r="C43" s="257">
        <v>189600</v>
      </c>
      <c r="D43" s="258">
        <f>SUM(C43:C48)</f>
        <v>609431.608</v>
      </c>
    </row>
    <row r="44" spans="2:4" ht="12.75">
      <c r="B44" s="266" t="s">
        <v>76</v>
      </c>
      <c r="C44" s="257">
        <v>107209.6</v>
      </c>
      <c r="D44" s="258"/>
    </row>
    <row r="45" spans="2:4" ht="12.75">
      <c r="B45" s="266" t="s">
        <v>78</v>
      </c>
      <c r="C45" s="257">
        <v>17840</v>
      </c>
      <c r="D45" s="258"/>
    </row>
    <row r="46" spans="2:4" ht="12.75">
      <c r="B46" s="266" t="s">
        <v>79</v>
      </c>
      <c r="C46" s="273">
        <v>97538.81599999999</v>
      </c>
      <c r="D46" s="274"/>
    </row>
    <row r="47" spans="2:4" ht="12.75">
      <c r="B47" s="266" t="s">
        <v>237</v>
      </c>
      <c r="C47" s="273">
        <v>94615.84800000001</v>
      </c>
      <c r="D47" s="274"/>
    </row>
    <row r="48" spans="2:4" ht="12.75">
      <c r="B48" s="266" t="s">
        <v>369</v>
      </c>
      <c r="C48" s="273">
        <v>102627.34399999998</v>
      </c>
      <c r="D48" s="274"/>
    </row>
    <row r="49" spans="2:4" ht="12.75">
      <c r="B49" s="266"/>
      <c r="C49" s="273"/>
      <c r="D49" s="274"/>
    </row>
    <row r="50" spans="2:4" ht="13.5" thickBot="1">
      <c r="B50" s="267" t="s">
        <v>40</v>
      </c>
      <c r="C50" s="260"/>
      <c r="D50" s="261">
        <f>SUM(C43:C50)</f>
        <v>609431.608</v>
      </c>
    </row>
    <row r="51" ht="12.75">
      <c r="E51" s="164"/>
    </row>
    <row r="52" ht="12.75">
      <c r="E52" s="164"/>
    </row>
    <row r="53" ht="12.75">
      <c r="E53" s="164"/>
    </row>
    <row r="54" ht="12.75">
      <c r="E54" s="164"/>
    </row>
    <row r="58" ht="12.75">
      <c r="E58" s="164"/>
    </row>
    <row r="71" ht="12.75">
      <c r="E71" s="164"/>
    </row>
    <row r="73" ht="12.75">
      <c r="E73" s="164"/>
    </row>
  </sheetData>
  <sheetProtection/>
  <mergeCells count="17">
    <mergeCell ref="B3:C3"/>
    <mergeCell ref="D8:D9"/>
    <mergeCell ref="F8:G8"/>
    <mergeCell ref="H8:J8"/>
    <mergeCell ref="J28:J29"/>
    <mergeCell ref="K9:L9"/>
    <mergeCell ref="K10:L10"/>
    <mergeCell ref="K28:K29"/>
    <mergeCell ref="H28:H29"/>
    <mergeCell ref="E28:E29"/>
    <mergeCell ref="F28:F29"/>
    <mergeCell ref="G28:G29"/>
    <mergeCell ref="K11:L11"/>
    <mergeCell ref="K12:L12"/>
    <mergeCell ref="K13:L13"/>
    <mergeCell ref="K14:L14"/>
    <mergeCell ref="I28:I29"/>
  </mergeCell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B3:N64"/>
  <sheetViews>
    <sheetView zoomScalePageLayoutView="0" workbookViewId="0" topLeftCell="B1">
      <selection activeCell="C30" sqref="C30"/>
    </sheetView>
  </sheetViews>
  <sheetFormatPr defaultColWidth="9.140625" defaultRowHeight="12.75"/>
  <cols>
    <col min="2" max="2" width="25.140625" style="0" bestFit="1" customWidth="1"/>
    <col min="3" max="3" width="13.28125" style="0" bestFit="1" customWidth="1"/>
    <col min="4" max="4" width="12.7109375" style="0" bestFit="1" customWidth="1"/>
    <col min="5" max="5" width="18.00390625" style="0" bestFit="1" customWidth="1"/>
    <col min="6" max="6" width="26.28125" style="0" bestFit="1" customWidth="1"/>
    <col min="7" max="7" width="23.00390625" style="0" bestFit="1" customWidth="1"/>
    <col min="8" max="8" width="18.57421875" style="0" bestFit="1" customWidth="1"/>
    <col min="9" max="9" width="15.421875" style="0" bestFit="1" customWidth="1"/>
    <col min="10" max="10" width="14.00390625" style="0" bestFit="1" customWidth="1"/>
    <col min="11" max="11" width="13.8515625" style="0" customWidth="1"/>
    <col min="12" max="12" width="27.140625" style="0" bestFit="1" customWidth="1"/>
    <col min="13" max="13" width="13.57421875" style="0" bestFit="1" customWidth="1"/>
    <col min="14" max="14" width="14.8515625" style="0" bestFit="1" customWidth="1"/>
  </cols>
  <sheetData>
    <row r="2" ht="13.5" thickBot="1"/>
    <row r="3" spans="2:4" ht="13.5" thickBot="1">
      <c r="B3" s="351" t="s">
        <v>566</v>
      </c>
      <c r="C3" s="352"/>
      <c r="D3" s="146">
        <v>781000</v>
      </c>
    </row>
    <row r="4" spans="2:4" ht="12.75">
      <c r="B4" s="138" t="s">
        <v>71</v>
      </c>
      <c r="C4" s="159">
        <v>624800</v>
      </c>
      <c r="D4" s="147"/>
    </row>
    <row r="5" spans="2:4" ht="12.75">
      <c r="B5" s="132" t="s">
        <v>72</v>
      </c>
      <c r="C5" s="154">
        <f>5*C4/100</f>
        <v>31240</v>
      </c>
      <c r="D5" s="132"/>
    </row>
    <row r="6" spans="2:3" ht="12.75">
      <c r="B6" s="132" t="s">
        <v>75</v>
      </c>
      <c r="C6" s="133">
        <f>95*C4/100</f>
        <v>593560</v>
      </c>
    </row>
    <row r="7" spans="2:4" ht="13.5" thickBot="1">
      <c r="B7" s="132" t="s">
        <v>74</v>
      </c>
      <c r="C7" s="154">
        <f>30*C4/100</f>
        <v>187440</v>
      </c>
      <c r="D7" s="132"/>
    </row>
    <row r="8" spans="2:13" ht="13.5" thickBot="1">
      <c r="B8" s="132" t="s">
        <v>73</v>
      </c>
      <c r="C8" s="139">
        <f>65*C4/100</f>
        <v>406120</v>
      </c>
      <c r="D8" s="353" t="s">
        <v>154</v>
      </c>
      <c r="E8" s="151" t="s">
        <v>143</v>
      </c>
      <c r="F8" s="355" t="s">
        <v>684</v>
      </c>
      <c r="G8" s="356"/>
      <c r="H8" s="357" t="s">
        <v>147</v>
      </c>
      <c r="I8" s="358"/>
      <c r="J8" s="358"/>
      <c r="K8" s="359"/>
      <c r="L8" s="167" t="s">
        <v>148</v>
      </c>
      <c r="M8" s="168" t="s">
        <v>149</v>
      </c>
    </row>
    <row r="9" spans="2:14" ht="13.5" thickBot="1">
      <c r="B9" s="134" t="s">
        <v>77</v>
      </c>
      <c r="C9" s="139">
        <f>C10+C11+C12</f>
        <v>396411.05319999997</v>
      </c>
      <c r="D9" s="354"/>
      <c r="E9" s="157">
        <f>SUM(E10:E11)</f>
        <v>768225.0700000001</v>
      </c>
      <c r="F9" s="153" t="s">
        <v>141</v>
      </c>
      <c r="G9" s="148" t="s">
        <v>142</v>
      </c>
      <c r="H9" s="149" t="s">
        <v>144</v>
      </c>
      <c r="I9" s="150" t="s">
        <v>145</v>
      </c>
      <c r="J9" s="150" t="s">
        <v>147</v>
      </c>
      <c r="K9" s="166" t="s">
        <v>251</v>
      </c>
      <c r="L9" s="370" t="s">
        <v>150</v>
      </c>
      <c r="M9" s="361"/>
      <c r="N9" s="150" t="s">
        <v>146</v>
      </c>
    </row>
    <row r="10" spans="2:14" ht="12.75">
      <c r="B10" s="134" t="s">
        <v>76</v>
      </c>
      <c r="C10" s="133">
        <f>E10*80/100</f>
        <v>143175.32</v>
      </c>
      <c r="D10" s="156" t="s">
        <v>151</v>
      </c>
      <c r="E10" s="158">
        <f>SUM(F10:N10)</f>
        <v>178969.15</v>
      </c>
      <c r="F10" s="152">
        <v>94040.11</v>
      </c>
      <c r="G10" s="152">
        <v>54253.34</v>
      </c>
      <c r="H10" s="152">
        <v>3280.47</v>
      </c>
      <c r="I10" s="152">
        <v>2423.46</v>
      </c>
      <c r="J10" s="152">
        <v>3363.8</v>
      </c>
      <c r="K10" s="205"/>
      <c r="L10" s="371">
        <v>21607.97</v>
      </c>
      <c r="M10" s="372"/>
      <c r="N10" s="152"/>
    </row>
    <row r="11" spans="2:14" ht="12.75">
      <c r="B11" s="134" t="s">
        <v>78</v>
      </c>
      <c r="C11" s="133">
        <v>253235.73319999996</v>
      </c>
      <c r="D11" s="155" t="s">
        <v>372</v>
      </c>
      <c r="E11" s="158">
        <f>SUM(F11:N11)</f>
        <v>589255.92</v>
      </c>
      <c r="F11" s="152">
        <v>159639.35</v>
      </c>
      <c r="G11" s="152">
        <v>347984.29</v>
      </c>
      <c r="H11" s="152">
        <v>19.53</v>
      </c>
      <c r="I11" s="152">
        <v>4176.54</v>
      </c>
      <c r="J11" s="152">
        <v>13634.2</v>
      </c>
      <c r="K11" s="152">
        <v>5483.59</v>
      </c>
      <c r="L11" s="152"/>
      <c r="M11" s="152">
        <v>58318.42</v>
      </c>
      <c r="N11" s="152"/>
    </row>
    <row r="12" spans="2:7" ht="13.5" thickBot="1">
      <c r="B12" s="136" t="s">
        <v>79</v>
      </c>
      <c r="C12" s="137"/>
      <c r="E12" s="158"/>
      <c r="G12" s="164"/>
    </row>
    <row r="13" spans="2:13" ht="12.75">
      <c r="B13" s="145" t="s">
        <v>80</v>
      </c>
      <c r="C13" s="141">
        <f>10*D3/100</f>
        <v>78100</v>
      </c>
      <c r="F13" s="164"/>
      <c r="G13" s="164"/>
      <c r="I13" s="164"/>
      <c r="J13" s="164"/>
      <c r="K13" s="164"/>
      <c r="M13" s="164"/>
    </row>
    <row r="14" spans="2:13" ht="12.75">
      <c r="B14" s="134" t="s">
        <v>82</v>
      </c>
      <c r="C14" s="140">
        <f>C15+C16+C17</f>
        <v>80655.04</v>
      </c>
      <c r="F14" s="164"/>
      <c r="G14" s="164"/>
      <c r="J14" s="164"/>
      <c r="K14" s="164"/>
      <c r="M14" s="164"/>
    </row>
    <row r="15" spans="2:3" ht="12.75">
      <c r="B15" s="142" t="s">
        <v>81</v>
      </c>
      <c r="C15" s="133">
        <v>11302.92</v>
      </c>
    </row>
    <row r="16" spans="2:3" ht="12.75">
      <c r="B16" s="142" t="s">
        <v>83</v>
      </c>
      <c r="C16" s="133">
        <f>14284.08+18687.53+7240.24+14833.52+14306.75</f>
        <v>69352.12</v>
      </c>
    </row>
    <row r="17" spans="2:3" ht="12.75">
      <c r="B17" s="142" t="s">
        <v>84</v>
      </c>
      <c r="C17" s="133"/>
    </row>
    <row r="18" spans="2:3" ht="12.75">
      <c r="B18" s="132"/>
      <c r="C18" s="133"/>
    </row>
    <row r="19" spans="2:3" ht="13.5" thickBot="1">
      <c r="B19" s="143"/>
      <c r="C19" s="144"/>
    </row>
    <row r="20" spans="2:3" ht="12.75">
      <c r="B20" s="145" t="s">
        <v>273</v>
      </c>
      <c r="C20" s="141">
        <v>27000</v>
      </c>
    </row>
    <row r="21" spans="2:10" ht="12.75">
      <c r="B21" s="134" t="s">
        <v>274</v>
      </c>
      <c r="C21" s="140">
        <f>C22+C23+C24</f>
        <v>32381.59</v>
      </c>
      <c r="F21" s="154"/>
      <c r="G21" s="154"/>
      <c r="H21" s="154"/>
      <c r="I21" s="154"/>
      <c r="J21" s="154"/>
    </row>
    <row r="22" spans="2:11" ht="12.75">
      <c r="B22" s="142" t="s">
        <v>275</v>
      </c>
      <c r="C22" s="133">
        <f>H10+I10+J10+K10</f>
        <v>9067.73</v>
      </c>
      <c r="G22" s="154"/>
      <c r="H22" s="154"/>
      <c r="I22" s="154"/>
      <c r="J22" s="176"/>
      <c r="K22" s="154"/>
    </row>
    <row r="23" spans="2:11" ht="12.75">
      <c r="B23" s="142" t="s">
        <v>276</v>
      </c>
      <c r="C23" s="133">
        <f>H11+I11+J11+K11</f>
        <v>23313.86</v>
      </c>
      <c r="K23" s="176"/>
    </row>
    <row r="24" spans="2:3" ht="13.5" thickBot="1">
      <c r="B24" s="142" t="s">
        <v>277</v>
      </c>
      <c r="C24" s="133"/>
    </row>
    <row r="25" spans="2:12" ht="12.75">
      <c r="B25" s="132"/>
      <c r="C25" s="133"/>
      <c r="E25" s="346" t="s">
        <v>361</v>
      </c>
      <c r="F25" s="346" t="s">
        <v>374</v>
      </c>
      <c r="G25" s="346" t="s">
        <v>375</v>
      </c>
      <c r="H25" s="346" t="s">
        <v>380</v>
      </c>
      <c r="I25" s="346" t="s">
        <v>376</v>
      </c>
      <c r="J25" s="346" t="s">
        <v>379</v>
      </c>
      <c r="K25" s="346" t="s">
        <v>377</v>
      </c>
      <c r="L25" s="224" t="s">
        <v>378</v>
      </c>
    </row>
    <row r="26" spans="2:12" ht="13.5" thickBot="1">
      <c r="B26" s="143"/>
      <c r="C26" s="144"/>
      <c r="E26" s="347"/>
      <c r="F26" s="347"/>
      <c r="G26" s="347"/>
      <c r="H26" s="347"/>
      <c r="I26" s="347"/>
      <c r="J26" s="347"/>
      <c r="K26" s="347"/>
      <c r="L26" s="225"/>
    </row>
    <row r="27" spans="5:12" ht="13.5" thickBot="1">
      <c r="E27" s="229">
        <v>540000</v>
      </c>
      <c r="F27" s="226">
        <v>147000</v>
      </c>
      <c r="G27" s="226">
        <v>15000</v>
      </c>
      <c r="H27" s="226"/>
      <c r="I27" s="226">
        <v>52000</v>
      </c>
      <c r="J27" s="226"/>
      <c r="K27" s="226">
        <v>27000</v>
      </c>
      <c r="L27" s="226">
        <f>SUM(E27:K27)</f>
        <v>781000</v>
      </c>
    </row>
    <row r="28" spans="5:12" ht="13.5" thickBot="1">
      <c r="E28" s="230">
        <f>SUM(E29:E32)</f>
        <v>550778.73</v>
      </c>
      <c r="F28" s="230">
        <f aca="true" t="shared" si="0" ref="F28:L28">SUM(F29:F32)</f>
        <v>105138.36</v>
      </c>
      <c r="G28" s="230">
        <f>SUM(G29:G32)</f>
        <v>17731.5</v>
      </c>
      <c r="H28" s="230">
        <f t="shared" si="0"/>
        <v>0</v>
      </c>
      <c r="I28" s="230">
        <f t="shared" si="0"/>
        <v>62194.89</v>
      </c>
      <c r="J28" s="230">
        <f t="shared" si="0"/>
        <v>0</v>
      </c>
      <c r="K28" s="230">
        <f t="shared" si="0"/>
        <v>32381.59</v>
      </c>
      <c r="L28" s="230">
        <f t="shared" si="0"/>
        <v>768225.0700000001</v>
      </c>
    </row>
    <row r="29" spans="5:12" ht="13.5" thickBot="1">
      <c r="E29" s="227">
        <v>148293.45</v>
      </c>
      <c r="F29" s="228"/>
      <c r="G29" s="228">
        <v>1345.5</v>
      </c>
      <c r="H29" s="286"/>
      <c r="I29" s="227">
        <v>20262.47</v>
      </c>
      <c r="J29" s="228"/>
      <c r="K29" s="228">
        <v>9067.73</v>
      </c>
      <c r="L29" s="223">
        <f>SUM(E29:K29)</f>
        <v>178969.15000000002</v>
      </c>
    </row>
    <row r="30" spans="2:12" ht="13.5" thickBot="1">
      <c r="B30" s="277" t="s">
        <v>363</v>
      </c>
      <c r="C30" s="278">
        <f>C4-C35</f>
        <v>10219.944000000018</v>
      </c>
      <c r="D30" s="287">
        <f>D3-D34</f>
        <v>12774.930000000051</v>
      </c>
      <c r="E30" s="247">
        <v>402485.28</v>
      </c>
      <c r="F30" s="248">
        <v>105138.36</v>
      </c>
      <c r="G30" s="248">
        <v>16386</v>
      </c>
      <c r="H30" s="248"/>
      <c r="I30" s="248">
        <v>41932.42</v>
      </c>
      <c r="J30" s="248"/>
      <c r="K30" s="248">
        <v>23313.86</v>
      </c>
      <c r="L30" s="249">
        <f>SUM(E30:K30)</f>
        <v>589255.92</v>
      </c>
    </row>
    <row r="31" spans="5:12" ht="13.5" thickBot="1">
      <c r="E31" s="227"/>
      <c r="F31" s="228"/>
      <c r="G31" s="228"/>
      <c r="H31" s="228"/>
      <c r="I31" s="228"/>
      <c r="J31" s="228"/>
      <c r="K31" s="228"/>
      <c r="L31" s="223">
        <f>SUM(E31:K31)</f>
        <v>0</v>
      </c>
    </row>
    <row r="32" spans="5:12" ht="13.5" thickBot="1">
      <c r="E32" s="227"/>
      <c r="F32" s="228"/>
      <c r="G32" s="228"/>
      <c r="H32" s="228"/>
      <c r="I32" s="228"/>
      <c r="J32" s="228"/>
      <c r="K32" s="228"/>
      <c r="L32" s="223">
        <f>SUM(E32:K32)</f>
        <v>0</v>
      </c>
    </row>
    <row r="33" ht="13.5" thickBot="1"/>
    <row r="34" spans="2:4" ht="12.75">
      <c r="B34" s="263"/>
      <c r="C34" s="256"/>
      <c r="D34" s="262">
        <v>768225.07</v>
      </c>
    </row>
    <row r="35" spans="2:4" ht="12.75">
      <c r="B35" s="264" t="s">
        <v>71</v>
      </c>
      <c r="C35" s="154">
        <f>D34*80/100</f>
        <v>614580.056</v>
      </c>
      <c r="D35" s="258"/>
    </row>
    <row r="36" spans="2:4" ht="12.75">
      <c r="B36" s="265" t="s">
        <v>72</v>
      </c>
      <c r="C36" s="257">
        <f>5*C35/100</f>
        <v>30729.0028</v>
      </c>
      <c r="D36" s="259"/>
    </row>
    <row r="37" spans="2:4" ht="12.75">
      <c r="B37" s="265" t="s">
        <v>75</v>
      </c>
      <c r="C37" s="257">
        <f>95*C35/100</f>
        <v>583851.0532</v>
      </c>
      <c r="D37" s="259"/>
    </row>
    <row r="38" spans="2:4" ht="12.75">
      <c r="B38" s="265" t="s">
        <v>74</v>
      </c>
      <c r="C38" s="257">
        <v>187440</v>
      </c>
      <c r="D38" s="258">
        <f>SUM(C38:C39)</f>
        <v>330615.32</v>
      </c>
    </row>
    <row r="39" spans="2:4" ht="12.75">
      <c r="B39" s="266" t="s">
        <v>76</v>
      </c>
      <c r="C39" s="257">
        <v>143175.32</v>
      </c>
      <c r="D39" s="258"/>
    </row>
    <row r="40" spans="2:4" ht="13.5" thickBot="1">
      <c r="B40" s="267" t="s">
        <v>40</v>
      </c>
      <c r="C40" s="260">
        <f>C37-D38</f>
        <v>253235.73319999996</v>
      </c>
      <c r="D40" s="261">
        <f>SUM(C38:C40)</f>
        <v>583851.0532</v>
      </c>
    </row>
    <row r="42" ht="12.75">
      <c r="E42" s="164"/>
    </row>
    <row r="43" ht="12.75">
      <c r="E43" s="164"/>
    </row>
    <row r="44" ht="12.75">
      <c r="E44" s="164"/>
    </row>
    <row r="45" ht="12.75">
      <c r="E45" s="164"/>
    </row>
    <row r="49" ht="12.75">
      <c r="E49" s="164"/>
    </row>
    <row r="62" ht="12.75">
      <c r="E62" s="164"/>
    </row>
    <row r="64" ht="12.75">
      <c r="E64" s="164"/>
    </row>
  </sheetData>
  <sheetProtection/>
  <mergeCells count="13">
    <mergeCell ref="L10:M10"/>
    <mergeCell ref="L9:M9"/>
    <mergeCell ref="B3:C3"/>
    <mergeCell ref="D8:D9"/>
    <mergeCell ref="F8:G8"/>
    <mergeCell ref="H8:K8"/>
    <mergeCell ref="I25:I26"/>
    <mergeCell ref="J25:J26"/>
    <mergeCell ref="K25:K26"/>
    <mergeCell ref="E25:E26"/>
    <mergeCell ref="F25:F26"/>
    <mergeCell ref="G25:G26"/>
    <mergeCell ref="H25:H26"/>
  </mergeCell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9"/>
  </sheetPr>
  <dimension ref="B3:N66"/>
  <sheetViews>
    <sheetView zoomScalePageLayoutView="0" workbookViewId="0" topLeftCell="A1">
      <selection activeCell="G41" sqref="G41"/>
    </sheetView>
  </sheetViews>
  <sheetFormatPr defaultColWidth="9.140625" defaultRowHeight="12.75"/>
  <cols>
    <col min="2" max="2" width="27.8515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4" ht="13.5" thickBot="1">
      <c r="B3" s="351" t="s">
        <v>611</v>
      </c>
      <c r="C3" s="352"/>
      <c r="D3" s="146">
        <v>789473</v>
      </c>
    </row>
    <row r="4" spans="2:4" ht="12.75">
      <c r="B4" s="138" t="s">
        <v>71</v>
      </c>
      <c r="C4" s="159">
        <v>631578.4</v>
      </c>
      <c r="D4" s="147"/>
    </row>
    <row r="5" spans="2:4" ht="12.75">
      <c r="B5" s="132" t="s">
        <v>72</v>
      </c>
      <c r="C5" s="154">
        <f>5*C4/100</f>
        <v>31578.92</v>
      </c>
      <c r="D5" s="132"/>
    </row>
    <row r="6" spans="2:3" ht="12.75">
      <c r="B6" s="132" t="s">
        <v>75</v>
      </c>
      <c r="C6" s="133">
        <f>95*C4/100</f>
        <v>599999.48</v>
      </c>
    </row>
    <row r="7" spans="2:4" ht="13.5" thickBot="1">
      <c r="B7" s="132" t="s">
        <v>74</v>
      </c>
      <c r="C7" s="154">
        <f>30*C4/100</f>
        <v>189473.52</v>
      </c>
      <c r="D7" s="132"/>
    </row>
    <row r="8" spans="2:13" ht="13.5" thickBot="1">
      <c r="B8" s="132" t="s">
        <v>73</v>
      </c>
      <c r="C8" s="139">
        <f>65*C4/100</f>
        <v>410525.96</v>
      </c>
      <c r="D8" s="353" t="s">
        <v>154</v>
      </c>
      <c r="E8" s="151" t="s">
        <v>143</v>
      </c>
      <c r="F8" s="355" t="s">
        <v>684</v>
      </c>
      <c r="G8" s="356"/>
      <c r="H8" s="357" t="s">
        <v>147</v>
      </c>
      <c r="I8" s="358"/>
      <c r="J8" s="358"/>
      <c r="K8" s="359"/>
      <c r="L8" s="167" t="s">
        <v>148</v>
      </c>
      <c r="M8" s="168" t="s">
        <v>149</v>
      </c>
    </row>
    <row r="9" spans="2:14" ht="13.5" thickBot="1">
      <c r="B9" s="134" t="s">
        <v>77</v>
      </c>
      <c r="C9" s="139">
        <f>C10+C11+C12+C13</f>
        <v>395517.2728</v>
      </c>
      <c r="D9" s="354"/>
      <c r="E9" s="157">
        <f>SUM(E10:E13)</f>
        <v>760610.14</v>
      </c>
      <c r="F9" s="153" t="s">
        <v>141</v>
      </c>
      <c r="G9" s="148" t="s">
        <v>142</v>
      </c>
      <c r="H9" s="149" t="s">
        <v>144</v>
      </c>
      <c r="I9" s="150" t="s">
        <v>145</v>
      </c>
      <c r="J9" s="150" t="s">
        <v>147</v>
      </c>
      <c r="K9" s="166" t="s">
        <v>251</v>
      </c>
      <c r="L9" s="370" t="s">
        <v>150</v>
      </c>
      <c r="M9" s="361"/>
      <c r="N9" s="150" t="s">
        <v>146</v>
      </c>
    </row>
    <row r="10" spans="2:14" ht="13.5" thickBot="1">
      <c r="B10" s="134" t="s">
        <v>76</v>
      </c>
      <c r="C10" s="184">
        <f>E10*80/100</f>
        <v>0</v>
      </c>
      <c r="D10" s="207" t="s">
        <v>151</v>
      </c>
      <c r="E10" s="186"/>
      <c r="F10" s="187"/>
      <c r="G10" s="187"/>
      <c r="H10" s="187"/>
      <c r="I10" s="187"/>
      <c r="J10" s="187"/>
      <c r="K10" s="208"/>
      <c r="L10" s="375"/>
      <c r="M10" s="376"/>
      <c r="N10" s="187"/>
    </row>
    <row r="11" spans="2:14" ht="12.75">
      <c r="B11" s="134" t="s">
        <v>381</v>
      </c>
      <c r="C11" s="184">
        <f>E11*80/100</f>
        <v>111814.12800000001</v>
      </c>
      <c r="D11" s="155" t="s">
        <v>153</v>
      </c>
      <c r="E11" s="186">
        <f>SUM(F11:N11)</f>
        <v>139767.66</v>
      </c>
      <c r="F11" s="187">
        <v>17564.56</v>
      </c>
      <c r="G11" s="187"/>
      <c r="H11" s="187"/>
      <c r="I11" s="187"/>
      <c r="J11" s="187">
        <v>2203.1</v>
      </c>
      <c r="K11" s="208"/>
      <c r="L11" s="375">
        <v>120000</v>
      </c>
      <c r="M11" s="376"/>
      <c r="N11" s="187"/>
    </row>
    <row r="12" spans="2:14" ht="12.75">
      <c r="B12" s="134" t="s">
        <v>79</v>
      </c>
      <c r="C12" s="184">
        <f>E12*80/100</f>
        <v>229156.30399999997</v>
      </c>
      <c r="D12" s="155" t="s">
        <v>219</v>
      </c>
      <c r="E12" s="186">
        <f>SUM(F12:N12)</f>
        <v>286445.38</v>
      </c>
      <c r="F12" s="187">
        <v>105455.63</v>
      </c>
      <c r="G12" s="187">
        <v>141340</v>
      </c>
      <c r="H12" s="187"/>
      <c r="I12" s="187"/>
      <c r="J12" s="187">
        <v>5569.75</v>
      </c>
      <c r="K12" s="187"/>
      <c r="L12" s="348">
        <v>34080</v>
      </c>
      <c r="M12" s="350"/>
      <c r="N12" s="187"/>
    </row>
    <row r="13" spans="2:14" ht="13.5" thickBot="1">
      <c r="B13" s="134" t="s">
        <v>237</v>
      </c>
      <c r="C13" s="184">
        <v>54546.840800000005</v>
      </c>
      <c r="D13" s="155" t="s">
        <v>372</v>
      </c>
      <c r="E13" s="186">
        <f>SUM(F13:N13)</f>
        <v>334397.1</v>
      </c>
      <c r="F13" s="187">
        <v>146239.9</v>
      </c>
      <c r="G13" s="187">
        <v>87860</v>
      </c>
      <c r="H13" s="187"/>
      <c r="I13" s="187"/>
      <c r="J13" s="187">
        <v>31897.2</v>
      </c>
      <c r="K13" s="187"/>
      <c r="L13" s="381">
        <v>68400</v>
      </c>
      <c r="M13" s="382"/>
      <c r="N13" s="187"/>
    </row>
    <row r="14" spans="2:13" ht="12.75">
      <c r="B14" s="145" t="s">
        <v>80</v>
      </c>
      <c r="C14" s="141">
        <f>10*D3/100</f>
        <v>78947.3</v>
      </c>
      <c r="E14" s="268"/>
      <c r="F14" s="268"/>
      <c r="G14" s="293"/>
      <c r="H14" s="293"/>
      <c r="I14" s="293"/>
      <c r="J14" s="268"/>
      <c r="K14" s="268"/>
      <c r="L14" s="268"/>
      <c r="M14" s="268"/>
    </row>
    <row r="15" spans="2:13" ht="12.75">
      <c r="B15" s="134" t="s">
        <v>82</v>
      </c>
      <c r="C15" s="140">
        <f>C16+C17+C18</f>
        <v>131343.88</v>
      </c>
      <c r="E15" s="176"/>
      <c r="F15" s="164"/>
      <c r="J15" s="164"/>
      <c r="L15" s="164"/>
      <c r="M15" s="164"/>
    </row>
    <row r="16" spans="2:13" ht="12.75">
      <c r="B16" s="142" t="s">
        <v>81</v>
      </c>
      <c r="C16" s="133"/>
      <c r="F16" s="164"/>
      <c r="J16" s="164"/>
      <c r="L16" s="164"/>
      <c r="M16" s="164"/>
    </row>
    <row r="17" spans="2:3" ht="12.75">
      <c r="B17" s="142" t="s">
        <v>382</v>
      </c>
      <c r="C17" s="133">
        <f>4197.94+4591.6+40000+80000</f>
        <v>128789.54000000001</v>
      </c>
    </row>
    <row r="18" spans="2:3" ht="12.75">
      <c r="B18" s="142" t="s">
        <v>84</v>
      </c>
      <c r="C18" s="133">
        <v>2554.34</v>
      </c>
    </row>
    <row r="19" spans="2:3" ht="12.75">
      <c r="B19" s="132"/>
      <c r="C19" s="133"/>
    </row>
    <row r="20" spans="2:3" ht="13.5" thickBot="1">
      <c r="B20" s="143"/>
      <c r="C20" s="144"/>
    </row>
    <row r="21" spans="2:3" ht="12.75">
      <c r="B21" s="145" t="s">
        <v>273</v>
      </c>
      <c r="C21" s="141">
        <f>5*D3/100</f>
        <v>39473.65</v>
      </c>
    </row>
    <row r="22" spans="2:6" ht="12.75">
      <c r="B22" s="134" t="s">
        <v>274</v>
      </c>
      <c r="C22" s="140">
        <f>C23+C24+C25+C26</f>
        <v>39670.05</v>
      </c>
      <c r="F22" t="s">
        <v>703</v>
      </c>
    </row>
    <row r="23" spans="2:3" ht="12.75">
      <c r="B23" s="142" t="s">
        <v>275</v>
      </c>
      <c r="C23" s="133">
        <f>H10+I10+J10+K10</f>
        <v>0</v>
      </c>
    </row>
    <row r="24" spans="2:3" ht="12.75">
      <c r="B24" s="142" t="s">
        <v>383</v>
      </c>
      <c r="C24" s="133">
        <f>H11+I11+J11+K11</f>
        <v>2203.1</v>
      </c>
    </row>
    <row r="25" spans="2:3" ht="13.5" thickBot="1">
      <c r="B25" s="142" t="s">
        <v>277</v>
      </c>
      <c r="C25" s="133">
        <f>H12+I12+J12+K12</f>
        <v>5569.75</v>
      </c>
    </row>
    <row r="26" spans="2:12" ht="12.75">
      <c r="B26" s="142" t="s">
        <v>224</v>
      </c>
      <c r="C26" s="133">
        <f>H13+I13+J13+K13</f>
        <v>31897.2</v>
      </c>
      <c r="E26" s="346" t="s">
        <v>361</v>
      </c>
      <c r="F26" s="346" t="s">
        <v>374</v>
      </c>
      <c r="G26" s="346" t="s">
        <v>375</v>
      </c>
      <c r="H26" s="346" t="s">
        <v>380</v>
      </c>
      <c r="I26" s="346" t="s">
        <v>376</v>
      </c>
      <c r="J26" s="346" t="s">
        <v>379</v>
      </c>
      <c r="K26" s="346" t="s">
        <v>377</v>
      </c>
      <c r="L26" s="224" t="s">
        <v>378</v>
      </c>
    </row>
    <row r="27" spans="2:12" ht="13.5" thickBot="1">
      <c r="B27" s="143"/>
      <c r="C27" s="144"/>
      <c r="E27" s="347"/>
      <c r="F27" s="347"/>
      <c r="G27" s="347"/>
      <c r="H27" s="347"/>
      <c r="I27" s="347"/>
      <c r="J27" s="347"/>
      <c r="K27" s="347"/>
      <c r="L27" s="225"/>
    </row>
    <row r="28" spans="5:12" ht="13.5" thickBot="1">
      <c r="E28" s="229">
        <v>290000</v>
      </c>
      <c r="F28" s="226">
        <v>280000</v>
      </c>
      <c r="G28" s="226">
        <v>80000</v>
      </c>
      <c r="H28" s="226"/>
      <c r="I28" s="226"/>
      <c r="J28" s="226">
        <v>100000</v>
      </c>
      <c r="K28" s="226">
        <v>39473</v>
      </c>
      <c r="L28" s="226">
        <f>SUM(E28:K28)</f>
        <v>789473</v>
      </c>
    </row>
    <row r="29" spans="5:12" ht="13.5" thickBot="1">
      <c r="E29" s="230">
        <f>SUM(E30:E33)</f>
        <v>269260.08999999997</v>
      </c>
      <c r="F29" s="230">
        <f aca="true" t="shared" si="0" ref="F29:L29">SUM(F30:F33)</f>
        <v>229200</v>
      </c>
      <c r="G29" s="230">
        <f t="shared" si="0"/>
        <v>80000</v>
      </c>
      <c r="H29" s="230">
        <f t="shared" si="0"/>
        <v>0</v>
      </c>
      <c r="I29" s="230">
        <f t="shared" si="0"/>
        <v>37080</v>
      </c>
      <c r="J29" s="230">
        <f t="shared" si="0"/>
        <v>105400</v>
      </c>
      <c r="K29" s="230">
        <f t="shared" si="0"/>
        <v>39670.05</v>
      </c>
      <c r="L29" s="230">
        <f t="shared" si="0"/>
        <v>760610.1400000001</v>
      </c>
    </row>
    <row r="30" spans="5:12" ht="13.5" thickBot="1">
      <c r="E30" s="227">
        <v>17564.56</v>
      </c>
      <c r="F30" s="228"/>
      <c r="G30" s="228">
        <v>80000</v>
      </c>
      <c r="H30" s="228"/>
      <c r="I30" s="228"/>
      <c r="J30" s="228">
        <v>40000</v>
      </c>
      <c r="K30" s="228">
        <v>2203.1</v>
      </c>
      <c r="L30" s="223">
        <f>SUM(E30:K30)</f>
        <v>139767.66</v>
      </c>
    </row>
    <row r="31" spans="5:12" ht="13.5" thickBot="1">
      <c r="E31" s="227">
        <v>105455.63</v>
      </c>
      <c r="F31" s="227">
        <v>141340</v>
      </c>
      <c r="G31" s="227"/>
      <c r="H31" s="227"/>
      <c r="I31" s="236">
        <v>34080</v>
      </c>
      <c r="J31" s="227"/>
      <c r="K31" s="227">
        <v>5569.75</v>
      </c>
      <c r="L31" s="223">
        <f>SUM(E31:K31)</f>
        <v>286445.38</v>
      </c>
    </row>
    <row r="32" spans="5:12" ht="13.5" thickBot="1">
      <c r="E32" s="227">
        <v>146239.9</v>
      </c>
      <c r="F32" s="227">
        <v>87860</v>
      </c>
      <c r="G32" s="227"/>
      <c r="H32" s="227"/>
      <c r="I32" s="305">
        <v>3000</v>
      </c>
      <c r="J32" s="227">
        <v>65400</v>
      </c>
      <c r="K32" s="227">
        <v>31897.2</v>
      </c>
      <c r="L32" s="223">
        <f>SUM(E32:K32)</f>
        <v>334397.10000000003</v>
      </c>
    </row>
    <row r="33" spans="5:12" ht="13.5" thickBot="1">
      <c r="E33" s="227"/>
      <c r="F33" s="227"/>
      <c r="G33" s="227"/>
      <c r="H33" s="227"/>
      <c r="I33" s="227"/>
      <c r="J33" s="227"/>
      <c r="K33" s="227"/>
      <c r="L33" s="223">
        <f>SUM(E33:K33)</f>
        <v>0</v>
      </c>
    </row>
    <row r="34" ht="13.5" thickBot="1"/>
    <row r="35" spans="2:4" ht="12.75">
      <c r="B35" s="263"/>
      <c r="C35" s="256"/>
      <c r="D35" s="262">
        <v>760610.14</v>
      </c>
    </row>
    <row r="36" spans="2:11" ht="12.75">
      <c r="B36" s="264" t="s">
        <v>71</v>
      </c>
      <c r="C36" s="154">
        <f>D35*80/100</f>
        <v>608488.1120000001</v>
      </c>
      <c r="D36" s="258"/>
      <c r="E36" s="164"/>
      <c r="K36" s="164"/>
    </row>
    <row r="37" spans="2:11" ht="12.75">
      <c r="B37" s="265" t="s">
        <v>72</v>
      </c>
      <c r="C37" s="257">
        <f>5*C36/100</f>
        <v>30424.405600000006</v>
      </c>
      <c r="D37" s="259"/>
      <c r="F37" s="164"/>
      <c r="H37" s="164"/>
      <c r="J37" s="164"/>
      <c r="K37" s="164"/>
    </row>
    <row r="38" spans="2:11" ht="12.75">
      <c r="B38" s="265" t="s">
        <v>75</v>
      </c>
      <c r="C38" s="257">
        <f>95*C36/100</f>
        <v>578063.7064</v>
      </c>
      <c r="D38" s="259"/>
      <c r="F38" s="164"/>
      <c r="G38" s="164"/>
      <c r="H38" s="164"/>
      <c r="I38" s="164"/>
      <c r="J38" s="164"/>
      <c r="K38" s="164"/>
    </row>
    <row r="39" spans="2:8" ht="12.75">
      <c r="B39" s="265" t="s">
        <v>74</v>
      </c>
      <c r="C39" s="154">
        <f>30*C36/100</f>
        <v>182546.43360000002</v>
      </c>
      <c r="D39" s="258">
        <f>SUM(C39:C42)</f>
        <v>523516.8656</v>
      </c>
      <c r="F39" s="164"/>
      <c r="H39" s="164"/>
    </row>
    <row r="40" spans="2:4" ht="12.75">
      <c r="B40" s="266" t="s">
        <v>76</v>
      </c>
      <c r="C40" s="257"/>
      <c r="D40" s="258"/>
    </row>
    <row r="41" spans="2:4" ht="12.75">
      <c r="B41" s="266" t="s">
        <v>78</v>
      </c>
      <c r="C41" s="257">
        <v>111814.12800000001</v>
      </c>
      <c r="D41" s="258"/>
    </row>
    <row r="42" spans="2:4" ht="12.75">
      <c r="B42" s="134" t="s">
        <v>79</v>
      </c>
      <c r="C42" s="273">
        <v>229156.30399999997</v>
      </c>
      <c r="D42" s="274"/>
    </row>
    <row r="43" spans="2:4" ht="13.5" thickBot="1">
      <c r="B43" s="267" t="s">
        <v>40</v>
      </c>
      <c r="C43" s="260">
        <f>C38-D39</f>
        <v>54546.840800000005</v>
      </c>
      <c r="D43" s="261">
        <f>SUM(C39:C43)</f>
        <v>578063.7064</v>
      </c>
    </row>
    <row r="44" ht="12.75">
      <c r="E44" s="164"/>
    </row>
    <row r="45" ht="12.75">
      <c r="E45" s="164"/>
    </row>
    <row r="46" ht="12.75">
      <c r="E46" s="164"/>
    </row>
    <row r="47" ht="12.75">
      <c r="E47" s="164"/>
    </row>
    <row r="51" ht="12.75">
      <c r="E51" s="164"/>
    </row>
    <row r="64" ht="12.75">
      <c r="E64" s="164"/>
    </row>
    <row r="66" ht="12.75">
      <c r="E66" s="164"/>
    </row>
  </sheetData>
  <sheetProtection/>
  <mergeCells count="16">
    <mergeCell ref="L11:M11"/>
    <mergeCell ref="L9:M9"/>
    <mergeCell ref="L10:M10"/>
    <mergeCell ref="B3:C3"/>
    <mergeCell ref="D8:D9"/>
    <mergeCell ref="F8:G8"/>
    <mergeCell ref="H8:K8"/>
    <mergeCell ref="L12:M12"/>
    <mergeCell ref="I26:I27"/>
    <mergeCell ref="J26:J27"/>
    <mergeCell ref="K26:K27"/>
    <mergeCell ref="E26:E27"/>
    <mergeCell ref="F26:F27"/>
    <mergeCell ref="G26:G27"/>
    <mergeCell ref="H26:H27"/>
    <mergeCell ref="L13:M13"/>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B3:N66"/>
  <sheetViews>
    <sheetView zoomScalePageLayoutView="0" workbookViewId="0" topLeftCell="A1">
      <selection activeCell="C32" sqref="C32"/>
    </sheetView>
  </sheetViews>
  <sheetFormatPr defaultColWidth="9.140625" defaultRowHeight="12.75"/>
  <cols>
    <col min="2" max="2" width="25.140625" style="0" bestFit="1" customWidth="1"/>
    <col min="3" max="4" width="17.28125" style="0" bestFit="1" customWidth="1"/>
    <col min="5" max="5" width="18.00390625" style="0" bestFit="1" customWidth="1"/>
    <col min="6" max="6" width="26.28125" style="0" bestFit="1" customWidth="1"/>
    <col min="7" max="7" width="23.00390625" style="0" bestFit="1" customWidth="1"/>
    <col min="8" max="8" width="18.57421875" style="0" bestFit="1" customWidth="1"/>
    <col min="9" max="9" width="15.421875" style="0" bestFit="1" customWidth="1"/>
    <col min="10" max="10" width="14.140625" style="0" bestFit="1" customWidth="1"/>
    <col min="11" max="11" width="13.8515625" style="0" customWidth="1"/>
    <col min="12" max="12" width="27.140625" style="0" bestFit="1" customWidth="1"/>
    <col min="13" max="13" width="13.57421875" style="0" bestFit="1" customWidth="1"/>
    <col min="14" max="14" width="14.8515625" style="0" bestFit="1" customWidth="1"/>
  </cols>
  <sheetData>
    <row r="2" ht="13.5" thickBot="1"/>
    <row r="3" spans="2:4" ht="13.5" thickBot="1">
      <c r="B3" s="351" t="s">
        <v>579</v>
      </c>
      <c r="C3" s="352"/>
      <c r="D3" s="146">
        <v>935000</v>
      </c>
    </row>
    <row r="4" spans="2:4" ht="12.75">
      <c r="B4" s="138" t="s">
        <v>71</v>
      </c>
      <c r="C4" s="159">
        <v>747992</v>
      </c>
      <c r="D4" s="147"/>
    </row>
    <row r="5" spans="2:4" ht="12.75">
      <c r="B5" s="132" t="s">
        <v>72</v>
      </c>
      <c r="C5" s="154">
        <f>5*C4/100</f>
        <v>37399.6</v>
      </c>
      <c r="D5" s="132"/>
    </row>
    <row r="6" spans="2:3" ht="12.75">
      <c r="B6" s="132" t="s">
        <v>75</v>
      </c>
      <c r="C6" s="133">
        <f>95*C4/100</f>
        <v>710592.4</v>
      </c>
    </row>
    <row r="7" spans="2:4" ht="13.5" thickBot="1">
      <c r="B7" s="132" t="s">
        <v>74</v>
      </c>
      <c r="C7" s="154">
        <f>30*C4/100</f>
        <v>224397.6</v>
      </c>
      <c r="D7" s="132"/>
    </row>
    <row r="8" spans="2:13" ht="13.5" thickBot="1">
      <c r="B8" s="132" t="s">
        <v>73</v>
      </c>
      <c r="C8" s="139">
        <f>65*C4/100</f>
        <v>486194.8</v>
      </c>
      <c r="D8" s="353" t="s">
        <v>154</v>
      </c>
      <c r="E8" s="151" t="s">
        <v>143</v>
      </c>
      <c r="F8" s="355" t="s">
        <v>684</v>
      </c>
      <c r="G8" s="356"/>
      <c r="H8" s="357" t="s">
        <v>147</v>
      </c>
      <c r="I8" s="358"/>
      <c r="J8" s="358"/>
      <c r="K8" s="359"/>
      <c r="L8" s="167" t="s">
        <v>148</v>
      </c>
      <c r="M8" s="168" t="s">
        <v>149</v>
      </c>
    </row>
    <row r="9" spans="2:14" ht="13.5" thickBot="1">
      <c r="B9" s="134" t="s">
        <v>77</v>
      </c>
      <c r="C9" s="139">
        <f>C10+C11+C12</f>
        <v>485676.29000000004</v>
      </c>
      <c r="D9" s="354"/>
      <c r="E9" s="157">
        <f>SUM(E10:E12)</f>
        <v>934307.75</v>
      </c>
      <c r="F9" s="153" t="s">
        <v>141</v>
      </c>
      <c r="G9" s="148" t="s">
        <v>142</v>
      </c>
      <c r="H9" s="149" t="s">
        <v>144</v>
      </c>
      <c r="I9" s="150" t="s">
        <v>145</v>
      </c>
      <c r="J9" s="150" t="s">
        <v>147</v>
      </c>
      <c r="K9" s="166" t="s">
        <v>251</v>
      </c>
      <c r="L9" s="370" t="s">
        <v>150</v>
      </c>
      <c r="M9" s="361"/>
      <c r="N9" s="150" t="s">
        <v>146</v>
      </c>
    </row>
    <row r="10" spans="2:14" ht="12.75">
      <c r="B10" s="134" t="s">
        <v>76</v>
      </c>
      <c r="C10" s="184">
        <f>E10*80/100</f>
        <v>74843.696</v>
      </c>
      <c r="D10" s="207" t="s">
        <v>151</v>
      </c>
      <c r="E10" s="186">
        <f>SUM(F10:N10)</f>
        <v>93554.62</v>
      </c>
      <c r="F10" s="187">
        <v>90259.36</v>
      </c>
      <c r="G10" s="187"/>
      <c r="H10" s="187">
        <v>3295.26</v>
      </c>
      <c r="I10" s="187"/>
      <c r="J10" s="187"/>
      <c r="K10" s="208"/>
      <c r="L10" s="375"/>
      <c r="M10" s="376"/>
      <c r="N10" s="187"/>
    </row>
    <row r="11" spans="2:13" ht="12.75">
      <c r="B11" s="134" t="s">
        <v>78</v>
      </c>
      <c r="C11" s="295">
        <f>E11*80/100</f>
        <v>170712.128</v>
      </c>
      <c r="D11" s="296" t="s">
        <v>153</v>
      </c>
      <c r="E11" s="297">
        <f>SUM(F11:N11)</f>
        <v>213390.16</v>
      </c>
      <c r="F11" s="298">
        <v>191021.48</v>
      </c>
      <c r="G11" s="298">
        <v>16751</v>
      </c>
      <c r="H11" s="298"/>
      <c r="I11" s="298"/>
      <c r="J11" s="298">
        <v>3706.68</v>
      </c>
      <c r="K11" s="298"/>
      <c r="L11" s="298"/>
      <c r="M11" s="298">
        <v>1911</v>
      </c>
    </row>
    <row r="12" spans="2:13" ht="13.5" thickBot="1">
      <c r="B12" s="136" t="s">
        <v>79</v>
      </c>
      <c r="C12" s="295">
        <v>240120.46600000001</v>
      </c>
      <c r="D12" s="296" t="s">
        <v>372</v>
      </c>
      <c r="E12" s="297">
        <f>SUM(F12:N12)</f>
        <v>627362.97</v>
      </c>
      <c r="F12" s="298">
        <v>376622.66</v>
      </c>
      <c r="G12" s="298">
        <v>158012.31</v>
      </c>
      <c r="H12" s="298"/>
      <c r="I12" s="298"/>
      <c r="J12" s="298">
        <f>37522.06-692.25</f>
        <v>36829.81</v>
      </c>
      <c r="K12" s="298"/>
      <c r="L12" s="298"/>
      <c r="M12" s="298">
        <v>55898.19</v>
      </c>
    </row>
    <row r="13" spans="2:5" ht="12.75">
      <c r="B13" s="145" t="s">
        <v>80</v>
      </c>
      <c r="C13" s="141">
        <f>10*D3/100</f>
        <v>93500</v>
      </c>
      <c r="E13" s="176"/>
    </row>
    <row r="14" spans="2:7" ht="12.75">
      <c r="B14" s="134" t="s">
        <v>82</v>
      </c>
      <c r="C14" s="140">
        <f>C15+C16+C17</f>
        <v>105834.7</v>
      </c>
      <c r="G14" s="280"/>
    </row>
    <row r="15" spans="2:9" ht="12.75">
      <c r="B15" s="142" t="s">
        <v>81</v>
      </c>
      <c r="C15" s="133"/>
      <c r="F15" s="164"/>
      <c r="G15" s="111"/>
      <c r="H15" s="111"/>
      <c r="I15" s="111"/>
    </row>
    <row r="16" spans="2:10" ht="12.75">
      <c r="B16" s="142" t="s">
        <v>83</v>
      </c>
      <c r="C16" s="295">
        <f>19313.04+18193.9</f>
        <v>37506.94</v>
      </c>
      <c r="E16" s="202"/>
      <c r="F16" s="279"/>
      <c r="G16" s="279"/>
      <c r="H16" s="203"/>
      <c r="I16" s="204"/>
      <c r="J16" s="176"/>
    </row>
    <row r="17" spans="2:8" ht="12.75">
      <c r="B17" s="142" t="s">
        <v>84</v>
      </c>
      <c r="C17" s="295">
        <f>14106.96+35000+19220.8</f>
        <v>68327.76</v>
      </c>
      <c r="F17" s="164"/>
      <c r="H17" s="201"/>
    </row>
    <row r="18" spans="2:3" ht="12.75">
      <c r="B18" s="132"/>
      <c r="C18" s="133"/>
    </row>
    <row r="19" spans="2:3" ht="13.5" thickBot="1">
      <c r="B19" s="143"/>
      <c r="C19" s="144"/>
    </row>
    <row r="20" spans="2:3" ht="12.75">
      <c r="B20" s="145" t="s">
        <v>273</v>
      </c>
      <c r="C20" s="141">
        <f>5*D3/100</f>
        <v>46750</v>
      </c>
    </row>
    <row r="21" spans="2:3" ht="12.75">
      <c r="B21" s="134" t="s">
        <v>274</v>
      </c>
      <c r="C21" s="140">
        <f>C22+C23+C24</f>
        <v>43831.75</v>
      </c>
    </row>
    <row r="22" spans="2:3" ht="12.75">
      <c r="B22" s="142" t="s">
        <v>275</v>
      </c>
      <c r="C22" s="133">
        <f>H10+I10+J10+K10</f>
        <v>3295.26</v>
      </c>
    </row>
    <row r="23" spans="2:3" ht="12.75">
      <c r="B23" s="142" t="s">
        <v>276</v>
      </c>
      <c r="C23" s="295">
        <f>H11+I11+J11+K11</f>
        <v>3706.68</v>
      </c>
    </row>
    <row r="24" spans="2:3" ht="13.5" thickBot="1">
      <c r="B24" s="142" t="s">
        <v>277</v>
      </c>
      <c r="C24" s="295">
        <f>H12+I12+J12+K12</f>
        <v>36829.81</v>
      </c>
    </row>
    <row r="25" spans="2:12" ht="12.75">
      <c r="B25" s="132"/>
      <c r="C25" s="133"/>
      <c r="E25" s="346" t="s">
        <v>361</v>
      </c>
      <c r="F25" s="346" t="s">
        <v>374</v>
      </c>
      <c r="G25" s="346" t="s">
        <v>375</v>
      </c>
      <c r="H25" s="346" t="s">
        <v>380</v>
      </c>
      <c r="I25" s="346" t="s">
        <v>376</v>
      </c>
      <c r="J25" s="346" t="s">
        <v>379</v>
      </c>
      <c r="K25" s="346" t="s">
        <v>377</v>
      </c>
      <c r="L25" s="224" t="s">
        <v>378</v>
      </c>
    </row>
    <row r="26" spans="2:12" ht="13.5" thickBot="1">
      <c r="B26" s="143"/>
      <c r="C26" s="144"/>
      <c r="E26" s="347"/>
      <c r="F26" s="347"/>
      <c r="G26" s="347"/>
      <c r="H26" s="347"/>
      <c r="I26" s="347"/>
      <c r="J26" s="347"/>
      <c r="K26" s="347"/>
      <c r="L26" s="225"/>
    </row>
    <row r="27" spans="4:12" ht="15.75" thickBot="1">
      <c r="D27" s="231" t="s">
        <v>56</v>
      </c>
      <c r="E27" s="229">
        <v>599476</v>
      </c>
      <c r="F27" s="226">
        <v>176000</v>
      </c>
      <c r="G27" s="226">
        <v>45000</v>
      </c>
      <c r="H27" s="226"/>
      <c r="I27" s="226">
        <v>70000</v>
      </c>
      <c r="J27" s="226"/>
      <c r="K27" s="226">
        <v>44524</v>
      </c>
      <c r="L27" s="226">
        <f>SUM(E27:K27)</f>
        <v>935000</v>
      </c>
    </row>
    <row r="28" spans="4:12" ht="15.75" thickBot="1">
      <c r="D28" s="232" t="s">
        <v>55</v>
      </c>
      <c r="E28" s="233">
        <v>616619</v>
      </c>
      <c r="F28" s="234">
        <v>176000</v>
      </c>
      <c r="G28" s="234">
        <v>35000</v>
      </c>
      <c r="H28" s="234"/>
      <c r="I28" s="234">
        <v>45488</v>
      </c>
      <c r="J28" s="234">
        <v>17369</v>
      </c>
      <c r="K28" s="234">
        <v>44524</v>
      </c>
      <c r="L28" s="234">
        <f>SUM(E28:K28)</f>
        <v>935000</v>
      </c>
    </row>
    <row r="29" spans="5:12" ht="13.5" thickBot="1">
      <c r="E29" s="230">
        <f>SUM(E30:E33)</f>
        <v>657903.5</v>
      </c>
      <c r="F29" s="230">
        <f aca="true" t="shared" si="0" ref="F29:L29">SUM(F30:F33)</f>
        <v>174763.31</v>
      </c>
      <c r="G29" s="230">
        <f t="shared" si="0"/>
        <v>17305.2</v>
      </c>
      <c r="H29" s="230">
        <f t="shared" si="0"/>
        <v>0</v>
      </c>
      <c r="I29" s="230">
        <f t="shared" si="0"/>
        <v>9996</v>
      </c>
      <c r="J29" s="230">
        <f t="shared" si="0"/>
        <v>30507.99</v>
      </c>
      <c r="K29" s="230">
        <f t="shared" si="0"/>
        <v>43831.75</v>
      </c>
      <c r="L29" s="230">
        <f t="shared" si="0"/>
        <v>934307.75</v>
      </c>
    </row>
    <row r="30" spans="3:12" ht="13.5" thickBot="1">
      <c r="C30" s="176"/>
      <c r="E30" s="227">
        <v>90259.36</v>
      </c>
      <c r="F30" s="228"/>
      <c r="G30" s="228"/>
      <c r="H30" s="228"/>
      <c r="I30" s="228"/>
      <c r="J30" s="228"/>
      <c r="K30" s="228">
        <v>3295.26</v>
      </c>
      <c r="L30" s="223">
        <f>SUM(E30:K30)</f>
        <v>93554.62</v>
      </c>
    </row>
    <row r="31" spans="5:12" ht="13.5" thickBot="1">
      <c r="E31" s="301">
        <v>191021.48</v>
      </c>
      <c r="F31" s="299">
        <v>16751</v>
      </c>
      <c r="G31" s="299"/>
      <c r="H31" s="299"/>
      <c r="I31" s="299"/>
      <c r="J31" s="299">
        <v>1911</v>
      </c>
      <c r="K31" s="299">
        <v>3706.68</v>
      </c>
      <c r="L31" s="300">
        <f>SUM(E31:K31)</f>
        <v>213390.16</v>
      </c>
    </row>
    <row r="32" spans="2:12" ht="13.5" thickBot="1">
      <c r="B32" s="277" t="s">
        <v>363</v>
      </c>
      <c r="C32" s="278">
        <f>C4-C36+96</f>
        <v>641.7999999999302</v>
      </c>
      <c r="D32" s="321">
        <f>D3-D35+120</f>
        <v>812.25</v>
      </c>
      <c r="E32" s="301">
        <v>376622.66</v>
      </c>
      <c r="F32" s="299">
        <v>158012.31</v>
      </c>
      <c r="G32" s="299">
        <v>17305.2</v>
      </c>
      <c r="H32" s="299"/>
      <c r="I32" s="299">
        <v>9996</v>
      </c>
      <c r="J32" s="299">
        <v>28596.99</v>
      </c>
      <c r="K32" s="299">
        <v>36829.81</v>
      </c>
      <c r="L32" s="300">
        <f>SUM(E32:K32)</f>
        <v>627362.97</v>
      </c>
    </row>
    <row r="33" spans="5:12" ht="13.5" thickBot="1">
      <c r="E33" s="227"/>
      <c r="F33" s="228"/>
      <c r="G33" s="228"/>
      <c r="H33" s="228"/>
      <c r="I33" s="228"/>
      <c r="J33" s="228"/>
      <c r="K33" s="228"/>
      <c r="L33" s="223">
        <f>SUM(E33:K33)</f>
        <v>0</v>
      </c>
    </row>
    <row r="34" ht="13.5" thickBot="1"/>
    <row r="35" spans="2:6" ht="12.75">
      <c r="B35" s="263"/>
      <c r="C35" s="256"/>
      <c r="D35" s="322">
        <v>934307.75</v>
      </c>
      <c r="E35" s="325">
        <v>120</v>
      </c>
      <c r="F35" s="326">
        <f>D35-E35</f>
        <v>934187.75</v>
      </c>
    </row>
    <row r="36" spans="2:6" ht="12.75">
      <c r="B36" s="264" t="s">
        <v>71</v>
      </c>
      <c r="C36" s="154">
        <f>D35*0.8</f>
        <v>747446.2000000001</v>
      </c>
      <c r="D36" s="323"/>
      <c r="E36" s="327"/>
      <c r="F36" s="258">
        <f>F35*0.8</f>
        <v>747350.2000000001</v>
      </c>
    </row>
    <row r="37" spans="2:7" ht="12.75">
      <c r="B37" s="265" t="s">
        <v>72</v>
      </c>
      <c r="C37" s="257">
        <f>5*C36/100</f>
        <v>37372.310000000005</v>
      </c>
      <c r="D37" s="324"/>
      <c r="E37" s="327"/>
      <c r="F37" s="328">
        <v>37276.310000000056</v>
      </c>
      <c r="G37" s="176"/>
    </row>
    <row r="38" spans="2:6" ht="13.5" thickBot="1">
      <c r="B38" s="265" t="s">
        <v>75</v>
      </c>
      <c r="C38" s="257">
        <f>95*C36/100</f>
        <v>710073.89</v>
      </c>
      <c r="D38" s="324"/>
      <c r="E38" s="329"/>
      <c r="F38" s="261">
        <v>710073.89</v>
      </c>
    </row>
    <row r="39" spans="2:4" ht="12.75">
      <c r="B39" s="265" t="s">
        <v>74</v>
      </c>
      <c r="C39" s="257">
        <v>224397.6</v>
      </c>
      <c r="D39" s="258">
        <f>SUM(C39:C41)</f>
        <v>469953.424</v>
      </c>
    </row>
    <row r="40" spans="2:4" ht="12.75">
      <c r="B40" s="266" t="s">
        <v>76</v>
      </c>
      <c r="C40" s="257">
        <v>74843.696</v>
      </c>
      <c r="D40" s="258"/>
    </row>
    <row r="41" spans="2:4" ht="12.75">
      <c r="B41" s="266" t="s">
        <v>78</v>
      </c>
      <c r="C41" s="281">
        <v>170712.128</v>
      </c>
      <c r="D41" s="258"/>
    </row>
    <row r="42" spans="2:4" ht="13.5" thickBot="1">
      <c r="B42" s="267" t="s">
        <v>40</v>
      </c>
      <c r="C42" s="260">
        <f>C38-D39</f>
        <v>240120.46600000001</v>
      </c>
      <c r="D42" s="261">
        <f>SUM(C39:C42)</f>
        <v>710073.89</v>
      </c>
    </row>
    <row r="43" ht="12.75">
      <c r="C43" s="176">
        <f>SUM(C41:C42)</f>
        <v>410832.59400000004</v>
      </c>
    </row>
    <row r="44" ht="12.75">
      <c r="E44" s="164"/>
    </row>
    <row r="45" ht="12.75">
      <c r="E45" s="164"/>
    </row>
    <row r="46" ht="12.75">
      <c r="E46" s="164"/>
    </row>
    <row r="47" ht="12.75">
      <c r="E47" s="164"/>
    </row>
    <row r="51" ht="12.75">
      <c r="E51" s="164"/>
    </row>
    <row r="64" ht="12.75">
      <c r="E64" s="164"/>
    </row>
    <row r="66" ht="12.75">
      <c r="E66" s="164"/>
    </row>
  </sheetData>
  <sheetProtection/>
  <mergeCells count="13">
    <mergeCell ref="L9:M9"/>
    <mergeCell ref="L10:M10"/>
    <mergeCell ref="B3:C3"/>
    <mergeCell ref="D8:D9"/>
    <mergeCell ref="F8:G8"/>
    <mergeCell ref="H8:K8"/>
    <mergeCell ref="I25:I26"/>
    <mergeCell ref="J25:J26"/>
    <mergeCell ref="K25:K26"/>
    <mergeCell ref="E25:E26"/>
    <mergeCell ref="F25:F26"/>
    <mergeCell ref="G25:G26"/>
    <mergeCell ref="H25:H26"/>
  </mergeCells>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B3:N66"/>
  <sheetViews>
    <sheetView zoomScalePageLayoutView="0" workbookViewId="0" topLeftCell="B1">
      <selection activeCell="G49" sqref="G49"/>
    </sheetView>
  </sheetViews>
  <sheetFormatPr defaultColWidth="9.140625" defaultRowHeight="12.75"/>
  <cols>
    <col min="2" max="2" width="25.140625" style="0" bestFit="1" customWidth="1"/>
    <col min="3" max="3" width="12.28125" style="0" bestFit="1" customWidth="1"/>
    <col min="4"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6" ht="13.5" thickBot="1">
      <c r="B3" s="351" t="s">
        <v>629</v>
      </c>
      <c r="C3" s="352"/>
      <c r="D3" s="146">
        <v>790468.75</v>
      </c>
      <c r="E3" s="154"/>
      <c r="F3" s="164"/>
    </row>
    <row r="4" spans="2:6" ht="12.75">
      <c r="B4" s="138" t="s">
        <v>71</v>
      </c>
      <c r="C4" s="159">
        <v>608375</v>
      </c>
      <c r="D4" s="147"/>
      <c r="F4" s="164"/>
    </row>
    <row r="5" spans="2:6" ht="12.75">
      <c r="B5" s="132" t="s">
        <v>72</v>
      </c>
      <c r="C5" s="154">
        <f>5*C4/100</f>
        <v>30418.75</v>
      </c>
      <c r="D5" s="132"/>
      <c r="F5" s="164"/>
    </row>
    <row r="6" spans="2:3" ht="12.75">
      <c r="B6" s="132" t="s">
        <v>75</v>
      </c>
      <c r="C6" s="133">
        <f>95*C4/100</f>
        <v>577956.25</v>
      </c>
    </row>
    <row r="7" spans="2:4" ht="13.5" thickBot="1">
      <c r="B7" s="132" t="s">
        <v>74</v>
      </c>
      <c r="C7" s="154">
        <f>30*C4/100</f>
        <v>182512.5</v>
      </c>
      <c r="D7" s="132"/>
    </row>
    <row r="8" spans="2:13" ht="13.5" thickBot="1">
      <c r="B8" s="132" t="s">
        <v>73</v>
      </c>
      <c r="C8" s="139">
        <f>65*C4/100</f>
        <v>395443.75</v>
      </c>
      <c r="D8" s="353" t="s">
        <v>154</v>
      </c>
      <c r="E8" s="151" t="s">
        <v>143</v>
      </c>
      <c r="F8" s="355" t="s">
        <v>684</v>
      </c>
      <c r="G8" s="356"/>
      <c r="H8" s="357" t="s">
        <v>147</v>
      </c>
      <c r="I8" s="358"/>
      <c r="J8" s="358"/>
      <c r="K8" s="359"/>
      <c r="L8" s="167" t="s">
        <v>148</v>
      </c>
      <c r="M8" s="168" t="s">
        <v>149</v>
      </c>
    </row>
    <row r="9" spans="2:14" ht="13.5" thickBot="1">
      <c r="B9" s="134" t="s">
        <v>77</v>
      </c>
      <c r="C9" s="139">
        <f>C10+C11+C12</f>
        <v>395443.75000000006</v>
      </c>
      <c r="D9" s="354"/>
      <c r="E9" s="157">
        <f>SUM(E10:E13)</f>
        <v>787413.2799999998</v>
      </c>
      <c r="F9" s="153" t="s">
        <v>141</v>
      </c>
      <c r="G9" s="148" t="s">
        <v>142</v>
      </c>
      <c r="H9" s="149" t="s">
        <v>144</v>
      </c>
      <c r="I9" s="150" t="s">
        <v>145</v>
      </c>
      <c r="J9" s="150" t="s">
        <v>147</v>
      </c>
      <c r="K9" s="166" t="s">
        <v>251</v>
      </c>
      <c r="L9" s="370" t="s">
        <v>150</v>
      </c>
      <c r="M9" s="361"/>
      <c r="N9" s="150" t="s">
        <v>146</v>
      </c>
    </row>
    <row r="10" spans="2:4" ht="12.75">
      <c r="B10" s="134" t="s">
        <v>76</v>
      </c>
      <c r="C10" s="184">
        <f>E10*80/100</f>
        <v>0</v>
      </c>
      <c r="D10" s="207" t="s">
        <v>151</v>
      </c>
    </row>
    <row r="11" spans="2:14" ht="12.75">
      <c r="B11" s="134" t="s">
        <v>381</v>
      </c>
      <c r="C11" s="184">
        <f>E11*80/100</f>
        <v>377728.27199999994</v>
      </c>
      <c r="D11" s="155" t="s">
        <v>153</v>
      </c>
      <c r="E11" s="209">
        <f>SUM(F11:N11)</f>
        <v>472160.3399999999</v>
      </c>
      <c r="F11" s="210">
        <v>302172.6</v>
      </c>
      <c r="G11" s="210">
        <f>82795.48+15960</f>
        <v>98755.48</v>
      </c>
      <c r="H11" s="211"/>
      <c r="I11" s="210"/>
      <c r="J11" s="210">
        <v>24997.66</v>
      </c>
      <c r="K11" s="210"/>
      <c r="L11" s="348">
        <v>46234.6</v>
      </c>
      <c r="M11" s="350"/>
      <c r="N11" s="210"/>
    </row>
    <row r="12" spans="2:14" ht="13.5" thickBot="1">
      <c r="B12" s="136" t="s">
        <v>79</v>
      </c>
      <c r="C12" s="184">
        <v>17715.47800000012</v>
      </c>
      <c r="D12" s="244" t="s">
        <v>372</v>
      </c>
      <c r="E12" s="272">
        <f>SUM(F12:N12)</f>
        <v>212409.14999999997</v>
      </c>
      <c r="F12" s="251">
        <v>69762.99</v>
      </c>
      <c r="G12" s="251">
        <f>84037.31+40800</f>
        <v>124837.31</v>
      </c>
      <c r="H12" s="251"/>
      <c r="I12" s="251"/>
      <c r="J12" s="251">
        <v>10830.55</v>
      </c>
      <c r="K12" s="251"/>
      <c r="L12" s="251"/>
      <c r="M12" s="251">
        <v>6978.3</v>
      </c>
      <c r="N12" s="251"/>
    </row>
    <row r="13" spans="2:14" ht="12.75">
      <c r="B13" s="145" t="s">
        <v>80</v>
      </c>
      <c r="C13" s="141">
        <f>10*D3/100</f>
        <v>79046.875</v>
      </c>
      <c r="E13" s="272">
        <f>SUM(F13:N13)</f>
        <v>102843.78999999998</v>
      </c>
      <c r="F13" s="251">
        <v>11557.17</v>
      </c>
      <c r="G13" s="251">
        <f>59357.63+18952.67</f>
        <v>78310.29999999999</v>
      </c>
      <c r="H13" s="251"/>
      <c r="I13" s="251"/>
      <c r="J13" s="251">
        <f>2334.15-1263.04</f>
        <v>1071.1100000000001</v>
      </c>
      <c r="K13" s="251"/>
      <c r="L13" s="251"/>
      <c r="M13" s="251">
        <v>11905.21</v>
      </c>
      <c r="N13" s="251"/>
    </row>
    <row r="14" spans="2:14" ht="12.75">
      <c r="B14" s="134" t="s">
        <v>82</v>
      </c>
      <c r="C14" s="140">
        <f>C15+C16+C17</f>
        <v>110042.16</v>
      </c>
      <c r="E14" s="283">
        <f>SUM(E12:E13)</f>
        <v>315252.93999999994</v>
      </c>
      <c r="F14" s="213">
        <f>SUM(F12:F13)</f>
        <v>81320.16</v>
      </c>
      <c r="G14" s="213">
        <f>SUM(G12:G13)</f>
        <v>203147.61</v>
      </c>
      <c r="H14" s="211"/>
      <c r="I14" s="160"/>
      <c r="J14" s="213">
        <f>SUM(J12:J13)</f>
        <v>11901.66</v>
      </c>
      <c r="K14" s="160"/>
      <c r="L14" s="160"/>
      <c r="M14" s="213">
        <f>SUM(M12:M13)</f>
        <v>18883.51</v>
      </c>
      <c r="N14" s="160"/>
    </row>
    <row r="15" spans="2:13" ht="12.75">
      <c r="B15" s="142" t="s">
        <v>81</v>
      </c>
      <c r="C15" s="133"/>
      <c r="E15" s="176"/>
      <c r="F15" s="164"/>
      <c r="G15" s="279"/>
      <c r="H15" s="111"/>
      <c r="I15" s="111"/>
      <c r="J15" s="164"/>
      <c r="M15" s="164"/>
    </row>
    <row r="16" spans="2:13" ht="13.5" thickBot="1">
      <c r="B16" s="142" t="s">
        <v>382</v>
      </c>
      <c r="C16" s="133">
        <f>6419.16+6971.37+5591.36+11925+3316.5+17257.82+4995.33+18959.04+26297.5+8309.08</f>
        <v>110042.16</v>
      </c>
      <c r="E16" s="202"/>
      <c r="F16" s="279"/>
      <c r="G16" s="279"/>
      <c r="H16" s="279"/>
      <c r="I16" s="204"/>
      <c r="J16" s="279"/>
      <c r="M16" s="279"/>
    </row>
    <row r="17" spans="2:10" ht="13.5" thickBot="1">
      <c r="B17" s="142" t="s">
        <v>84</v>
      </c>
      <c r="C17" s="133"/>
      <c r="E17" s="146"/>
      <c r="J17" s="176"/>
    </row>
    <row r="18" spans="2:7" ht="12.75">
      <c r="B18" s="132"/>
      <c r="C18" s="133"/>
      <c r="G18" s="176"/>
    </row>
    <row r="19" spans="2:10" ht="13.5" thickBot="1">
      <c r="B19" s="143"/>
      <c r="C19" s="144"/>
      <c r="E19" s="176"/>
      <c r="F19" s="176"/>
      <c r="G19" s="176"/>
      <c r="H19" s="176"/>
      <c r="I19" s="176"/>
      <c r="J19" s="176"/>
    </row>
    <row r="20" spans="2:3" ht="12.75">
      <c r="B20" s="145" t="s">
        <v>273</v>
      </c>
      <c r="C20" s="141">
        <f>5*D3/100</f>
        <v>39523.4375</v>
      </c>
    </row>
    <row r="21" spans="2:3" ht="12.75">
      <c r="B21" s="134" t="s">
        <v>274</v>
      </c>
      <c r="C21" s="140">
        <f>C22+C23+C24</f>
        <v>36899.32</v>
      </c>
    </row>
    <row r="22" spans="2:3" ht="12.75">
      <c r="B22" s="142" t="s">
        <v>275</v>
      </c>
      <c r="C22" s="133">
        <f>H10+I10+J10+K10</f>
        <v>0</v>
      </c>
    </row>
    <row r="23" spans="2:3" ht="12.75">
      <c r="B23" s="142" t="s">
        <v>383</v>
      </c>
      <c r="C23" s="133">
        <f>H11+I11+J11+K11</f>
        <v>24997.66</v>
      </c>
    </row>
    <row r="24" spans="2:7" ht="13.5" thickBot="1">
      <c r="B24" s="142" t="s">
        <v>277</v>
      </c>
      <c r="C24" s="133">
        <f>SUM(J12:J13)</f>
        <v>11901.66</v>
      </c>
      <c r="G24" s="154"/>
    </row>
    <row r="25" spans="2:12" ht="12.75">
      <c r="B25" s="132"/>
      <c r="C25" s="133"/>
      <c r="E25" s="346" t="s">
        <v>361</v>
      </c>
      <c r="F25" s="346" t="s">
        <v>374</v>
      </c>
      <c r="G25" s="346" t="s">
        <v>375</v>
      </c>
      <c r="H25" s="346" t="s">
        <v>380</v>
      </c>
      <c r="I25" s="346" t="s">
        <v>376</v>
      </c>
      <c r="J25" s="346" t="s">
        <v>379</v>
      </c>
      <c r="K25" s="346" t="s">
        <v>377</v>
      </c>
      <c r="L25" s="224" t="s">
        <v>378</v>
      </c>
    </row>
    <row r="26" spans="2:12" ht="13.5" thickBot="1">
      <c r="B26" s="143"/>
      <c r="C26" s="144"/>
      <c r="E26" s="347"/>
      <c r="F26" s="347"/>
      <c r="G26" s="347"/>
      <c r="H26" s="347"/>
      <c r="I26" s="347"/>
      <c r="J26" s="347"/>
      <c r="K26" s="347"/>
      <c r="L26" s="225"/>
    </row>
    <row r="27" spans="4:12" ht="15.75" thickBot="1">
      <c r="D27" s="231" t="s">
        <v>56</v>
      </c>
      <c r="E27" s="229">
        <v>609375</v>
      </c>
      <c r="F27" s="226">
        <v>63000</v>
      </c>
      <c r="G27" s="226">
        <v>50000</v>
      </c>
      <c r="H27" s="226"/>
      <c r="I27" s="226"/>
      <c r="J27" s="226">
        <v>30000</v>
      </c>
      <c r="K27" s="226">
        <v>38093.75</v>
      </c>
      <c r="L27" s="226">
        <f>SUM(E27:K27)</f>
        <v>790468.75</v>
      </c>
    </row>
    <row r="28" spans="4:12" ht="15.75" thickBot="1">
      <c r="D28" s="232" t="s">
        <v>55</v>
      </c>
      <c r="E28" s="233">
        <v>607141</v>
      </c>
      <c r="F28" s="234">
        <v>74600</v>
      </c>
      <c r="G28" s="234">
        <v>45634</v>
      </c>
      <c r="H28" s="234"/>
      <c r="I28" s="234"/>
      <c r="J28" s="234">
        <v>25000</v>
      </c>
      <c r="K28" s="234">
        <v>38093.75</v>
      </c>
      <c r="L28" s="234">
        <f>SUM(E28:K28)</f>
        <v>790468.75</v>
      </c>
    </row>
    <row r="29" spans="5:12" ht="13.5" thickBot="1">
      <c r="E29" s="230">
        <f>SUM(E30:E33)</f>
        <v>609683.18</v>
      </c>
      <c r="F29" s="230">
        <f aca="true" t="shared" si="0" ref="F29:L29">SUM(F30:F33)</f>
        <v>75712.67</v>
      </c>
      <c r="G29" s="230">
        <f t="shared" si="0"/>
        <v>45858.6</v>
      </c>
      <c r="H29" s="230">
        <f t="shared" si="0"/>
        <v>0</v>
      </c>
      <c r="I29" s="230">
        <f t="shared" si="0"/>
        <v>0</v>
      </c>
      <c r="J29" s="230">
        <f t="shared" si="0"/>
        <v>19259.51</v>
      </c>
      <c r="K29" s="230">
        <f t="shared" si="0"/>
        <v>36899.32</v>
      </c>
      <c r="L29" s="230">
        <f t="shared" si="0"/>
        <v>787413.28</v>
      </c>
    </row>
    <row r="30" spans="5:12" ht="13.5" thickBot="1">
      <c r="E30" s="227">
        <v>384968.08</v>
      </c>
      <c r="F30" s="228">
        <v>15960</v>
      </c>
      <c r="G30" s="228">
        <v>44778.6</v>
      </c>
      <c r="H30" s="228"/>
      <c r="I30" s="228"/>
      <c r="J30" s="228">
        <v>1456</v>
      </c>
      <c r="K30" s="228">
        <v>24997.66</v>
      </c>
      <c r="L30" s="223">
        <f>SUM(E30:K30)</f>
        <v>472160.33999999997</v>
      </c>
    </row>
    <row r="31" spans="5:12" ht="13.5" thickBot="1">
      <c r="E31" s="247">
        <v>224715.1</v>
      </c>
      <c r="F31" s="248">
        <v>59752.67</v>
      </c>
      <c r="G31" s="248">
        <v>1080</v>
      </c>
      <c r="H31" s="248"/>
      <c r="I31" s="248"/>
      <c r="J31" s="248">
        <v>17803.51</v>
      </c>
      <c r="K31" s="248">
        <v>11901.66</v>
      </c>
      <c r="L31" s="249">
        <f>SUM(E31:K31)</f>
        <v>315252.94</v>
      </c>
    </row>
    <row r="32" spans="2:12" ht="13.5" thickBot="1">
      <c r="B32" s="220"/>
      <c r="C32" s="154"/>
      <c r="E32" s="227"/>
      <c r="F32" s="228"/>
      <c r="G32" s="228"/>
      <c r="H32" s="228"/>
      <c r="I32" s="228"/>
      <c r="J32" s="228"/>
      <c r="K32" s="228"/>
      <c r="L32" s="223">
        <f>SUM(E32:K32)</f>
        <v>0</v>
      </c>
    </row>
    <row r="33" spans="5:12" ht="13.5" thickBot="1">
      <c r="E33" s="227"/>
      <c r="F33" s="228"/>
      <c r="G33" s="228"/>
      <c r="H33" s="228"/>
      <c r="I33" s="228"/>
      <c r="J33" s="228"/>
      <c r="K33" s="228"/>
      <c r="L33" s="223">
        <f>SUM(E33:K33)</f>
        <v>0</v>
      </c>
    </row>
    <row r="35" ht="13.5" thickBot="1"/>
    <row r="36" spans="2:4" ht="12.75">
      <c r="B36" s="263"/>
      <c r="C36" s="256"/>
      <c r="D36" s="262">
        <v>787413.28</v>
      </c>
    </row>
    <row r="37" spans="2:4" ht="12.75">
      <c r="B37" s="264" t="s">
        <v>71</v>
      </c>
      <c r="C37" s="159">
        <v>608375</v>
      </c>
      <c r="D37" s="258"/>
    </row>
    <row r="38" spans="2:4" ht="12.75">
      <c r="B38" s="265" t="s">
        <v>72</v>
      </c>
      <c r="C38" s="257">
        <f>5*C37/100</f>
        <v>30418.75</v>
      </c>
      <c r="D38" s="259"/>
    </row>
    <row r="39" spans="2:4" ht="12.75">
      <c r="B39" s="265" t="s">
        <v>75</v>
      </c>
      <c r="C39" s="257">
        <f>95*C37/100</f>
        <v>577956.25</v>
      </c>
      <c r="D39" s="259"/>
    </row>
    <row r="40" spans="2:4" ht="12.75">
      <c r="B40" s="265" t="s">
        <v>74</v>
      </c>
      <c r="C40" s="257">
        <v>182512.5</v>
      </c>
      <c r="D40" s="258">
        <f>SUM(C40:C41)</f>
        <v>560240.7719999999</v>
      </c>
    </row>
    <row r="41" spans="2:4" ht="12.75">
      <c r="B41" s="266" t="s">
        <v>365</v>
      </c>
      <c r="C41" s="257">
        <v>377728.27199999994</v>
      </c>
      <c r="D41" s="258"/>
    </row>
    <row r="42" spans="2:4" ht="13.5" thickBot="1">
      <c r="B42" s="267" t="s">
        <v>40</v>
      </c>
      <c r="C42" s="260">
        <f>C39-D40</f>
        <v>17715.47800000012</v>
      </c>
      <c r="D42" s="261">
        <f>SUM(C40:C42)</f>
        <v>577956.25</v>
      </c>
    </row>
    <row r="44" ht="12.75">
      <c r="E44" s="164"/>
    </row>
    <row r="45" ht="12.75">
      <c r="E45" s="164"/>
    </row>
    <row r="46" ht="12.75">
      <c r="E46" s="164"/>
    </row>
    <row r="47" ht="12.75">
      <c r="E47" s="164"/>
    </row>
    <row r="49" ht="12.75">
      <c r="G49" t="s">
        <v>717</v>
      </c>
    </row>
    <row r="51" ht="12.75">
      <c r="E51" s="164"/>
    </row>
    <row r="64" ht="12.75">
      <c r="E64" s="164"/>
    </row>
    <row r="66" ht="12.75">
      <c r="E66" s="164"/>
    </row>
  </sheetData>
  <sheetProtection/>
  <mergeCells count="13">
    <mergeCell ref="L9:M9"/>
    <mergeCell ref="L11:M11"/>
    <mergeCell ref="B3:C3"/>
    <mergeCell ref="D8:D9"/>
    <mergeCell ref="F8:G8"/>
    <mergeCell ref="H8:K8"/>
    <mergeCell ref="I25:I26"/>
    <mergeCell ref="J25:J26"/>
    <mergeCell ref="K25:K26"/>
    <mergeCell ref="E25:E26"/>
    <mergeCell ref="F25:F26"/>
    <mergeCell ref="G25:G26"/>
    <mergeCell ref="H25:H26"/>
  </mergeCells>
  <printOptions/>
  <pageMargins left="0.75" right="0.75"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B3:N65"/>
  <sheetViews>
    <sheetView zoomScalePageLayoutView="0" workbookViewId="0" topLeftCell="A1">
      <selection activeCell="C31" sqref="C31"/>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6" ht="13.5" thickBot="1">
      <c r="B3" s="351" t="s">
        <v>65</v>
      </c>
      <c r="C3" s="352"/>
      <c r="D3" s="146">
        <v>857831.2</v>
      </c>
      <c r="E3" s="65"/>
      <c r="F3" s="65"/>
    </row>
    <row r="4" spans="2:4" ht="12.75">
      <c r="B4" s="138" t="s">
        <v>71</v>
      </c>
      <c r="C4" s="159">
        <v>686264.96</v>
      </c>
      <c r="D4" s="147"/>
    </row>
    <row r="5" spans="2:4" ht="12.75">
      <c r="B5" s="132" t="s">
        <v>72</v>
      </c>
      <c r="C5" s="154">
        <f>5*C4/100</f>
        <v>34313.248</v>
      </c>
      <c r="D5" s="132"/>
    </row>
    <row r="6" spans="2:3" ht="12.75">
      <c r="B6" s="132" t="s">
        <v>75</v>
      </c>
      <c r="C6" s="133">
        <f>95*C4/100</f>
        <v>651951.7119999999</v>
      </c>
    </row>
    <row r="7" spans="2:4" ht="13.5" thickBot="1">
      <c r="B7" s="132" t="s">
        <v>74</v>
      </c>
      <c r="C7" s="154">
        <f>30*C4/100</f>
        <v>205879.48799999998</v>
      </c>
      <c r="D7" s="132"/>
    </row>
    <row r="8" spans="2:13" ht="13.5" thickBot="1">
      <c r="B8" s="132" t="s">
        <v>73</v>
      </c>
      <c r="C8" s="139">
        <f>65*C4/100</f>
        <v>446072.224</v>
      </c>
      <c r="D8" s="353" t="s">
        <v>154</v>
      </c>
      <c r="E8" s="151" t="s">
        <v>143</v>
      </c>
      <c r="F8" s="355" t="s">
        <v>684</v>
      </c>
      <c r="G8" s="356"/>
      <c r="H8" s="357" t="s">
        <v>147</v>
      </c>
      <c r="I8" s="358"/>
      <c r="J8" s="358"/>
      <c r="K8" s="359"/>
      <c r="L8" s="167" t="s">
        <v>148</v>
      </c>
      <c r="M8" s="168" t="s">
        <v>149</v>
      </c>
    </row>
    <row r="9" spans="2:14" ht="13.5" thickBot="1">
      <c r="B9" s="134" t="s">
        <v>77</v>
      </c>
      <c r="C9" s="139">
        <f>C10+C11+C12</f>
        <v>446032.22519999987</v>
      </c>
      <c r="D9" s="354"/>
      <c r="E9" s="157">
        <f>SUM(E11:E12)</f>
        <v>857778.5700000001</v>
      </c>
      <c r="F9" s="153" t="s">
        <v>141</v>
      </c>
      <c r="G9" s="148" t="s">
        <v>142</v>
      </c>
      <c r="H9" s="149" t="s">
        <v>144</v>
      </c>
      <c r="I9" s="150" t="s">
        <v>145</v>
      </c>
      <c r="J9" s="150" t="s">
        <v>147</v>
      </c>
      <c r="K9" s="166" t="s">
        <v>251</v>
      </c>
      <c r="L9" s="370" t="s">
        <v>150</v>
      </c>
      <c r="M9" s="361"/>
      <c r="N9" s="150" t="s">
        <v>146</v>
      </c>
    </row>
    <row r="10" spans="2:4" ht="12.75">
      <c r="B10" s="134" t="s">
        <v>76</v>
      </c>
      <c r="C10" s="184">
        <f>E10*80/100</f>
        <v>0</v>
      </c>
      <c r="D10" s="207" t="s">
        <v>151</v>
      </c>
    </row>
    <row r="11" spans="2:14" ht="12.75">
      <c r="B11" s="134" t="s">
        <v>381</v>
      </c>
      <c r="C11" s="184">
        <f>E11*80/100</f>
        <v>195523.80799999996</v>
      </c>
      <c r="D11" s="155" t="s">
        <v>153</v>
      </c>
      <c r="E11" s="209">
        <f>SUM(F11:N11)</f>
        <v>244404.75999999998</v>
      </c>
      <c r="F11" s="210">
        <v>155665.27</v>
      </c>
      <c r="G11" s="210"/>
      <c r="H11" s="211"/>
      <c r="I11" s="210"/>
      <c r="J11" s="210">
        <v>13284.09</v>
      </c>
      <c r="K11" s="210"/>
      <c r="L11" s="215"/>
      <c r="M11" s="216">
        <v>75455.4</v>
      </c>
      <c r="N11" s="210"/>
    </row>
    <row r="12" spans="2:14" ht="13.5" thickBot="1">
      <c r="B12" s="136" t="s">
        <v>79</v>
      </c>
      <c r="C12" s="184">
        <v>250508.4171999999</v>
      </c>
      <c r="D12" s="155" t="s">
        <v>372</v>
      </c>
      <c r="E12" s="209">
        <f>SUM(F12:N12)</f>
        <v>613373.81</v>
      </c>
      <c r="F12" s="210">
        <v>151259.93</v>
      </c>
      <c r="G12" s="210">
        <v>180012</v>
      </c>
      <c r="H12" s="210"/>
      <c r="I12" s="210"/>
      <c r="J12" s="210">
        <f>29609.91-5.07</f>
        <v>29604.84</v>
      </c>
      <c r="K12" s="210"/>
      <c r="L12" s="210"/>
      <c r="M12" s="210">
        <v>252497.04</v>
      </c>
      <c r="N12" s="210"/>
    </row>
    <row r="13" spans="2:13" ht="12.75">
      <c r="B13" s="145" t="s">
        <v>80</v>
      </c>
      <c r="C13" s="141">
        <f>10*D3/100</f>
        <v>85783.12</v>
      </c>
      <c r="F13" s="164"/>
      <c r="G13" s="164"/>
      <c r="J13" s="164"/>
      <c r="M13" s="164"/>
    </row>
    <row r="14" spans="2:13" ht="12.75">
      <c r="B14" s="134" t="s">
        <v>82</v>
      </c>
      <c r="C14" s="140">
        <f>C15+C16+C17</f>
        <v>140905.19</v>
      </c>
      <c r="F14" s="164"/>
      <c r="G14" s="164"/>
      <c r="J14" s="164"/>
      <c r="M14" s="164"/>
    </row>
    <row r="15" spans="2:13" ht="12.75">
      <c r="B15" s="142" t="s">
        <v>81</v>
      </c>
      <c r="C15" s="133"/>
      <c r="E15" s="164"/>
      <c r="F15" s="164"/>
      <c r="G15" s="164"/>
      <c r="H15" s="164"/>
      <c r="I15" s="164"/>
      <c r="J15" s="164"/>
      <c r="K15" s="164"/>
      <c r="L15" s="164"/>
      <c r="M15" s="164"/>
    </row>
    <row r="16" spans="2:10" ht="12.75">
      <c r="B16" s="142" t="s">
        <v>382</v>
      </c>
      <c r="C16" s="133">
        <f>8778.96+17996+21930+34257.06+37626.13+4094.22</f>
        <v>124682.37</v>
      </c>
      <c r="E16" s="202"/>
      <c r="F16" s="203"/>
      <c r="G16" s="203"/>
      <c r="H16" s="203"/>
      <c r="I16" s="204"/>
      <c r="J16" s="176"/>
    </row>
    <row r="17" spans="2:8" ht="12.75">
      <c r="B17" s="142" t="s">
        <v>84</v>
      </c>
      <c r="C17" s="133">
        <f>822.94+6224.5+4500+4675.38</f>
        <v>16222.82</v>
      </c>
      <c r="H17" s="201"/>
    </row>
    <row r="18" spans="2:3" ht="12.75">
      <c r="B18" s="132"/>
      <c r="C18" s="133"/>
    </row>
    <row r="19" spans="2:3" ht="13.5" thickBot="1">
      <c r="B19" s="143"/>
      <c r="C19" s="144"/>
    </row>
    <row r="20" spans="2:4" ht="12.75">
      <c r="B20" s="145" t="s">
        <v>273</v>
      </c>
      <c r="C20" s="214">
        <f>5*D3/100</f>
        <v>42891.56</v>
      </c>
      <c r="D20" s="132"/>
    </row>
    <row r="21" spans="2:3" ht="12.75">
      <c r="B21" s="134" t="s">
        <v>274</v>
      </c>
      <c r="C21" s="140">
        <f>C22+C23+C24</f>
        <v>42888.93</v>
      </c>
    </row>
    <row r="22" spans="2:3" ht="12.75">
      <c r="B22" s="142" t="s">
        <v>275</v>
      </c>
      <c r="C22" s="133">
        <f>H10+I10+J10+K10</f>
        <v>0</v>
      </c>
    </row>
    <row r="23" spans="2:3" ht="12.75">
      <c r="B23" s="142" t="s">
        <v>383</v>
      </c>
      <c r="C23" s="133">
        <f>H11+I11+J11+K11</f>
        <v>13284.09</v>
      </c>
    </row>
    <row r="24" spans="2:7" ht="13.5" thickBot="1">
      <c r="B24" s="142" t="s">
        <v>277</v>
      </c>
      <c r="C24" s="133">
        <f>H12+I12+J12+K12</f>
        <v>29604.84</v>
      </c>
      <c r="G24" s="154"/>
    </row>
    <row r="25" spans="2:12" ht="12.75">
      <c r="B25" s="132"/>
      <c r="C25" s="133"/>
      <c r="E25" s="346" t="s">
        <v>361</v>
      </c>
      <c r="F25" s="346" t="s">
        <v>374</v>
      </c>
      <c r="G25" s="346" t="s">
        <v>375</v>
      </c>
      <c r="H25" s="346" t="s">
        <v>220</v>
      </c>
      <c r="I25" s="346" t="s">
        <v>376</v>
      </c>
      <c r="J25" s="346" t="s">
        <v>379</v>
      </c>
      <c r="K25" s="346" t="s">
        <v>377</v>
      </c>
      <c r="L25" s="224" t="s">
        <v>378</v>
      </c>
    </row>
    <row r="26" spans="2:12" ht="13.5" thickBot="1">
      <c r="B26" s="143"/>
      <c r="C26" s="144"/>
      <c r="E26" s="347"/>
      <c r="F26" s="347"/>
      <c r="G26" s="347"/>
      <c r="H26" s="347"/>
      <c r="I26" s="347"/>
      <c r="J26" s="347"/>
      <c r="K26" s="347"/>
      <c r="L26" s="225"/>
    </row>
    <row r="27" spans="4:12" ht="15.75" thickBot="1">
      <c r="D27" s="231" t="s">
        <v>56</v>
      </c>
      <c r="E27" s="229">
        <v>339925.2</v>
      </c>
      <c r="F27" s="226">
        <v>180012</v>
      </c>
      <c r="G27" s="226">
        <v>50000</v>
      </c>
      <c r="H27" s="226">
        <v>6000</v>
      </c>
      <c r="I27" s="226">
        <v>24000</v>
      </c>
      <c r="J27" s="226">
        <v>215000</v>
      </c>
      <c r="K27" s="226">
        <v>42894</v>
      </c>
      <c r="L27" s="226">
        <f>SUM(E27:K27)</f>
        <v>857831.2</v>
      </c>
    </row>
    <row r="28" spans="4:12" ht="15.75" thickBot="1">
      <c r="D28" s="232" t="s">
        <v>55</v>
      </c>
      <c r="E28" s="233">
        <v>306925.2</v>
      </c>
      <c r="F28" s="234">
        <v>180012</v>
      </c>
      <c r="G28" s="234">
        <v>43000</v>
      </c>
      <c r="H28" s="234">
        <v>4800</v>
      </c>
      <c r="I28" s="234">
        <v>22200</v>
      </c>
      <c r="J28" s="234">
        <v>258000</v>
      </c>
      <c r="K28" s="234">
        <v>42894</v>
      </c>
      <c r="L28" s="234">
        <f>SUM(E28:K28)</f>
        <v>857831.2</v>
      </c>
    </row>
    <row r="29" spans="5:12" ht="13.5" thickBot="1">
      <c r="E29" s="230">
        <f>SUM(E30:E33)</f>
        <v>306925.19999999995</v>
      </c>
      <c r="F29" s="230">
        <f aca="true" t="shared" si="0" ref="F29:L29">SUM(F30:F33)</f>
        <v>180012</v>
      </c>
      <c r="G29" s="230">
        <f t="shared" si="0"/>
        <v>42952.44</v>
      </c>
      <c r="H29" s="230">
        <f t="shared" si="0"/>
        <v>4800</v>
      </c>
      <c r="I29" s="230">
        <f t="shared" si="0"/>
        <v>22200</v>
      </c>
      <c r="J29" s="230">
        <f t="shared" si="0"/>
        <v>258000</v>
      </c>
      <c r="K29" s="230">
        <f t="shared" si="0"/>
        <v>42888.93</v>
      </c>
      <c r="L29" s="230">
        <f t="shared" si="0"/>
        <v>857778.57</v>
      </c>
    </row>
    <row r="30" spans="5:12" ht="13.5" thickBot="1">
      <c r="E30" s="227">
        <v>155665.27</v>
      </c>
      <c r="F30" s="228"/>
      <c r="G30" s="228">
        <v>11855.4</v>
      </c>
      <c r="H30" s="228"/>
      <c r="I30" s="228"/>
      <c r="J30" s="228">
        <v>63600</v>
      </c>
      <c r="K30" s="228">
        <v>13284.09</v>
      </c>
      <c r="L30" s="223">
        <f>SUM(E30:K30)</f>
        <v>244404.75999999998</v>
      </c>
    </row>
    <row r="31" spans="2:12" ht="13.5" thickBot="1">
      <c r="B31" s="277" t="s">
        <v>363</v>
      </c>
      <c r="C31" s="319">
        <f>C4-C36</f>
        <v>42.10400000005029</v>
      </c>
      <c r="D31" s="320">
        <f>D3-D35</f>
        <v>52.63000000000466</v>
      </c>
      <c r="E31" s="318">
        <v>151259.93</v>
      </c>
      <c r="F31" s="228">
        <v>180012</v>
      </c>
      <c r="G31" s="228">
        <v>31097.04</v>
      </c>
      <c r="H31" s="228">
        <v>4800</v>
      </c>
      <c r="I31" s="228">
        <v>22200</v>
      </c>
      <c r="J31" s="228">
        <v>194400</v>
      </c>
      <c r="K31" s="228">
        <f>29609.91-5.07</f>
        <v>29604.84</v>
      </c>
      <c r="L31" s="223">
        <f>SUM(E31:K31)</f>
        <v>613373.8099999999</v>
      </c>
    </row>
    <row r="32" spans="5:12" ht="13.5" thickBot="1">
      <c r="E32" s="227"/>
      <c r="F32" s="228"/>
      <c r="G32" s="228"/>
      <c r="H32" s="228"/>
      <c r="I32" s="228"/>
      <c r="J32" s="228"/>
      <c r="K32" s="228"/>
      <c r="L32" s="223">
        <f>SUM(E32:K32)</f>
        <v>0</v>
      </c>
    </row>
    <row r="33" spans="5:12" ht="13.5" thickBot="1">
      <c r="E33" s="227"/>
      <c r="F33" s="228"/>
      <c r="G33" s="228"/>
      <c r="H33" s="228"/>
      <c r="I33" s="228"/>
      <c r="J33" s="228"/>
      <c r="K33" s="228"/>
      <c r="L33" s="223">
        <f>SUM(E33:K33)</f>
        <v>0</v>
      </c>
    </row>
    <row r="34" ht="13.5" thickBot="1"/>
    <row r="35" spans="2:4" ht="12.75">
      <c r="B35" s="263"/>
      <c r="C35" s="256"/>
      <c r="D35" s="262">
        <v>857778.57</v>
      </c>
    </row>
    <row r="36" spans="2:4" ht="12.75">
      <c r="B36" s="264" t="s">
        <v>71</v>
      </c>
      <c r="C36" s="154">
        <f>D35*80/100</f>
        <v>686222.8559999999</v>
      </c>
      <c r="D36" s="258"/>
    </row>
    <row r="37" spans="2:10" ht="12.75">
      <c r="B37" s="265" t="s">
        <v>72</v>
      </c>
      <c r="C37" s="257">
        <f>5*C36/100</f>
        <v>34311.142799999994</v>
      </c>
      <c r="D37" s="259"/>
      <c r="F37" s="310"/>
      <c r="G37" s="176"/>
      <c r="H37" s="176"/>
      <c r="I37" s="176"/>
      <c r="J37" s="176"/>
    </row>
    <row r="38" spans="2:9" ht="12.75">
      <c r="B38" s="265" t="s">
        <v>75</v>
      </c>
      <c r="C38" s="257">
        <f>95*C36/100</f>
        <v>651911.7131999999</v>
      </c>
      <c r="D38" s="259"/>
      <c r="F38" s="220"/>
      <c r="G38" s="176"/>
      <c r="H38" s="176"/>
      <c r="I38" s="176"/>
    </row>
    <row r="39" spans="2:10" ht="12.75">
      <c r="B39" s="265" t="s">
        <v>74</v>
      </c>
      <c r="C39" s="257">
        <v>205879.48799999998</v>
      </c>
      <c r="D39" s="258">
        <f>SUM(C39:C40)</f>
        <v>401403.296</v>
      </c>
      <c r="F39" s="310"/>
      <c r="G39" s="176"/>
      <c r="H39" s="176"/>
      <c r="I39" s="176"/>
      <c r="J39" s="176"/>
    </row>
    <row r="40" spans="2:6" ht="12.75">
      <c r="B40" s="266" t="s">
        <v>76</v>
      </c>
      <c r="C40" s="257">
        <v>195523.80799999996</v>
      </c>
      <c r="D40" s="258"/>
      <c r="F40" s="220"/>
    </row>
    <row r="41" spans="2:4" ht="13.5" thickBot="1">
      <c r="B41" s="267" t="s">
        <v>40</v>
      </c>
      <c r="C41" s="260">
        <f>C38-D39</f>
        <v>250508.4171999999</v>
      </c>
      <c r="D41" s="261">
        <f>SUM(C39:C41)</f>
        <v>651911.7131999999</v>
      </c>
    </row>
    <row r="43" ht="12.75">
      <c r="E43" s="164"/>
    </row>
    <row r="44" ht="12.75">
      <c r="E44" s="164"/>
    </row>
    <row r="45" ht="12.75">
      <c r="E45" s="164"/>
    </row>
    <row r="46" ht="12.75">
      <c r="E46" s="164"/>
    </row>
    <row r="50" ht="12.75">
      <c r="E50" s="164"/>
    </row>
    <row r="63" ht="12.75">
      <c r="E63" s="164"/>
    </row>
    <row r="65" ht="12.75">
      <c r="E65" s="164"/>
    </row>
  </sheetData>
  <sheetProtection/>
  <mergeCells count="12">
    <mergeCell ref="L9:M9"/>
    <mergeCell ref="B3:C3"/>
    <mergeCell ref="D8:D9"/>
    <mergeCell ref="F8:G8"/>
    <mergeCell ref="H8:K8"/>
    <mergeCell ref="I25:I26"/>
    <mergeCell ref="J25:J26"/>
    <mergeCell ref="K25:K26"/>
    <mergeCell ref="E25:E26"/>
    <mergeCell ref="F25:F26"/>
    <mergeCell ref="G25:G26"/>
    <mergeCell ref="H25:H26"/>
  </mergeCells>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92D050"/>
  </sheetPr>
  <dimension ref="B3:N65"/>
  <sheetViews>
    <sheetView zoomScalePageLayoutView="0" workbookViewId="0" topLeftCell="A1">
      <selection activeCell="C36" sqref="C36"/>
    </sheetView>
  </sheetViews>
  <sheetFormatPr defaultColWidth="9.140625" defaultRowHeight="12.75"/>
  <cols>
    <col min="2" max="2" width="25.140625" style="0" bestFit="1" customWidth="1"/>
    <col min="3" max="3" width="12.28125" style="0" bestFit="1" customWidth="1"/>
    <col min="4"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6" ht="13.5" thickBot="1">
      <c r="B3" s="351" t="s">
        <v>596</v>
      </c>
      <c r="C3" s="352"/>
      <c r="D3" s="146">
        <v>673940</v>
      </c>
      <c r="E3" s="65"/>
      <c r="F3" s="65"/>
    </row>
    <row r="4" spans="2:4" ht="12.75">
      <c r="B4" s="138" t="s">
        <v>71</v>
      </c>
      <c r="C4" s="159">
        <v>539152</v>
      </c>
      <c r="D4" s="147"/>
    </row>
    <row r="5" spans="2:4" ht="12.75">
      <c r="B5" s="132" t="s">
        <v>72</v>
      </c>
      <c r="C5" s="154">
        <f>5*C4/100</f>
        <v>26957.6</v>
      </c>
      <c r="D5" s="132"/>
    </row>
    <row r="6" spans="2:3" ht="12.75">
      <c r="B6" s="132" t="s">
        <v>75</v>
      </c>
      <c r="C6" s="133">
        <f>95*C4/100</f>
        <v>512194.4</v>
      </c>
    </row>
    <row r="7" spans="2:4" ht="13.5" thickBot="1">
      <c r="B7" s="132" t="s">
        <v>74</v>
      </c>
      <c r="C7" s="154">
        <f>30*C4/100</f>
        <v>161745.6</v>
      </c>
      <c r="D7" s="132"/>
    </row>
    <row r="8" spans="2:13" ht="13.5" thickBot="1">
      <c r="B8" s="132" t="s">
        <v>73</v>
      </c>
      <c r="C8" s="139">
        <f>65*C4/100</f>
        <v>350448.8</v>
      </c>
      <c r="D8" s="353" t="s">
        <v>154</v>
      </c>
      <c r="E8" s="151" t="s">
        <v>143</v>
      </c>
      <c r="F8" s="355" t="s">
        <v>684</v>
      </c>
      <c r="G8" s="356"/>
      <c r="H8" s="357" t="s">
        <v>147</v>
      </c>
      <c r="I8" s="358"/>
      <c r="J8" s="358"/>
      <c r="K8" s="359"/>
      <c r="L8" s="167" t="s">
        <v>148</v>
      </c>
      <c r="M8" s="168" t="s">
        <v>149</v>
      </c>
    </row>
    <row r="9" spans="2:14" ht="13.5" thickBot="1">
      <c r="B9" s="134" t="s">
        <v>77</v>
      </c>
      <c r="C9" s="139">
        <f>C10+C11+C12</f>
        <v>347187.96680000005</v>
      </c>
      <c r="D9" s="354"/>
      <c r="E9" s="157">
        <f>SUM(E11:E12)</f>
        <v>669649.43</v>
      </c>
      <c r="F9" s="153" t="s">
        <v>141</v>
      </c>
      <c r="G9" s="148" t="s">
        <v>142</v>
      </c>
      <c r="H9" s="149" t="s">
        <v>144</v>
      </c>
      <c r="I9" s="150" t="s">
        <v>145</v>
      </c>
      <c r="J9" s="150" t="s">
        <v>147</v>
      </c>
      <c r="K9" s="166" t="s">
        <v>251</v>
      </c>
      <c r="L9" s="370" t="s">
        <v>150</v>
      </c>
      <c r="M9" s="361"/>
      <c r="N9" s="150" t="s">
        <v>146</v>
      </c>
    </row>
    <row r="10" spans="2:4" ht="12.75">
      <c r="B10" s="134" t="s">
        <v>76</v>
      </c>
      <c r="C10" s="184">
        <f>E10*80/100</f>
        <v>0</v>
      </c>
      <c r="D10" s="207" t="s">
        <v>151</v>
      </c>
    </row>
    <row r="11" spans="2:14" ht="12.75">
      <c r="B11" s="134" t="s">
        <v>381</v>
      </c>
      <c r="C11" s="184">
        <f>E11*80/100</f>
        <v>187018.2</v>
      </c>
      <c r="D11" s="155" t="s">
        <v>153</v>
      </c>
      <c r="E11" s="209">
        <f>SUM(F11:N11)</f>
        <v>233772.75</v>
      </c>
      <c r="F11" s="210">
        <v>62358.8</v>
      </c>
      <c r="G11" s="210">
        <f>17543.95+51812.58</f>
        <v>69356.53</v>
      </c>
      <c r="H11" s="211"/>
      <c r="I11" s="210"/>
      <c r="J11" s="210">
        <v>16656</v>
      </c>
      <c r="K11" s="210"/>
      <c r="L11" s="348">
        <f>137214-51812.58</f>
        <v>85401.42</v>
      </c>
      <c r="M11" s="350"/>
      <c r="N11" s="210"/>
    </row>
    <row r="12" spans="2:14" ht="12.75">
      <c r="B12" s="134" t="s">
        <v>79</v>
      </c>
      <c r="C12" s="243">
        <v>160169.76680000004</v>
      </c>
      <c r="D12" s="244" t="s">
        <v>372</v>
      </c>
      <c r="E12" s="272">
        <f>SUM(F12:N12)</f>
        <v>435876.68000000005</v>
      </c>
      <c r="F12" s="251">
        <f>110297.59+10257.12</f>
        <v>120554.70999999999</v>
      </c>
      <c r="G12" s="251">
        <v>253715.19</v>
      </c>
      <c r="H12" s="251"/>
      <c r="I12" s="251"/>
      <c r="J12" s="251">
        <v>6784</v>
      </c>
      <c r="K12" s="251"/>
      <c r="L12" s="383">
        <v>54822.78</v>
      </c>
      <c r="M12" s="384"/>
      <c r="N12" s="251"/>
    </row>
    <row r="13" spans="2:12" ht="13.5" thickBot="1">
      <c r="B13" s="136"/>
      <c r="C13" s="137"/>
      <c r="D13" s="271"/>
      <c r="F13" s="210">
        <v>10257.12</v>
      </c>
      <c r="G13" s="164"/>
      <c r="L13" s="164"/>
    </row>
    <row r="14" spans="2:13" ht="12.75">
      <c r="B14" s="145" t="s">
        <v>80</v>
      </c>
      <c r="C14" s="141">
        <f>10*D3/100</f>
        <v>67394</v>
      </c>
      <c r="F14" s="164"/>
      <c r="G14" s="176"/>
      <c r="J14" s="164"/>
      <c r="M14" s="164"/>
    </row>
    <row r="15" spans="2:13" ht="12.75">
      <c r="B15" s="134" t="s">
        <v>82</v>
      </c>
      <c r="C15" s="140">
        <f>C16+C17+C18</f>
        <v>134793.28</v>
      </c>
      <c r="G15" s="164"/>
      <c r="J15" s="164"/>
      <c r="M15" s="164"/>
    </row>
    <row r="16" spans="2:13" ht="12.75">
      <c r="B16" s="142" t="s">
        <v>81</v>
      </c>
      <c r="C16" s="133"/>
      <c r="E16" s="220"/>
      <c r="F16" s="164"/>
      <c r="G16" s="164"/>
      <c r="H16" s="164"/>
      <c r="I16" s="164"/>
      <c r="J16" s="164"/>
      <c r="K16" s="164"/>
      <c r="L16" s="164"/>
      <c r="M16" s="164"/>
    </row>
    <row r="17" spans="2:10" ht="12.75">
      <c r="B17" s="142" t="s">
        <v>382</v>
      </c>
      <c r="C17" s="133">
        <f>12031.95+7838.4+11077.84+11080.69</f>
        <v>42028.88</v>
      </c>
      <c r="E17" s="202"/>
      <c r="F17" s="203"/>
      <c r="G17" s="203"/>
      <c r="H17" s="203"/>
      <c r="I17" s="204"/>
      <c r="J17" s="176"/>
    </row>
    <row r="18" spans="2:8" ht="12.75">
      <c r="B18" s="142" t="s">
        <v>84</v>
      </c>
      <c r="C18" s="133">
        <f>19825.33+30999+21365.73+10290.48+10283.86</f>
        <v>92764.4</v>
      </c>
      <c r="H18" s="201"/>
    </row>
    <row r="19" spans="2:3" ht="12.75">
      <c r="B19" s="132"/>
      <c r="C19" s="133"/>
    </row>
    <row r="20" spans="2:3" ht="13.5" thickBot="1">
      <c r="B20" s="143"/>
      <c r="C20" s="144"/>
    </row>
    <row r="21" spans="2:3" ht="12.75">
      <c r="B21" s="145" t="s">
        <v>273</v>
      </c>
      <c r="C21" s="214">
        <f>5*D3/100</f>
        <v>33697</v>
      </c>
    </row>
    <row r="22" spans="2:3" ht="12.75">
      <c r="B22" s="134" t="s">
        <v>274</v>
      </c>
      <c r="C22" s="140">
        <f>C23+C24+C25</f>
        <v>23440</v>
      </c>
    </row>
    <row r="23" spans="2:3" ht="12.75">
      <c r="B23" s="142" t="s">
        <v>275</v>
      </c>
      <c r="C23" s="133">
        <f>H10+I10+J10+K10</f>
        <v>0</v>
      </c>
    </row>
    <row r="24" spans="2:3" ht="12.75">
      <c r="B24" s="142" t="s">
        <v>383</v>
      </c>
      <c r="C24" s="133">
        <f>H11+I11+J11+K11</f>
        <v>16656</v>
      </c>
    </row>
    <row r="25" spans="2:7" ht="13.5" thickBot="1">
      <c r="B25" s="142" t="s">
        <v>277</v>
      </c>
      <c r="C25" s="133">
        <f>H12+I12+J12+K12</f>
        <v>6784</v>
      </c>
      <c r="G25" s="154"/>
    </row>
    <row r="26" spans="2:12" ht="12.75">
      <c r="B26" s="132"/>
      <c r="C26" s="133"/>
      <c r="E26" s="346" t="s">
        <v>361</v>
      </c>
      <c r="F26" s="346" t="s">
        <v>374</v>
      </c>
      <c r="G26" s="346" t="s">
        <v>375</v>
      </c>
      <c r="H26" s="346" t="s">
        <v>220</v>
      </c>
      <c r="I26" s="346" t="s">
        <v>376</v>
      </c>
      <c r="J26" s="346" t="s">
        <v>379</v>
      </c>
      <c r="K26" s="346" t="s">
        <v>377</v>
      </c>
      <c r="L26" s="224" t="s">
        <v>378</v>
      </c>
    </row>
    <row r="27" spans="2:12" ht="13.5" thickBot="1">
      <c r="B27" s="143"/>
      <c r="C27" s="144"/>
      <c r="E27" s="347"/>
      <c r="F27" s="347"/>
      <c r="G27" s="347"/>
      <c r="H27" s="347"/>
      <c r="I27" s="347"/>
      <c r="J27" s="347"/>
      <c r="K27" s="347"/>
      <c r="L27" s="225"/>
    </row>
    <row r="28" spans="4:12" ht="15.75" thickBot="1">
      <c r="D28" s="231" t="s">
        <v>56</v>
      </c>
      <c r="E28" s="229">
        <v>220000</v>
      </c>
      <c r="F28" s="226">
        <v>230000</v>
      </c>
      <c r="G28" s="226">
        <v>17500</v>
      </c>
      <c r="H28" s="226"/>
      <c r="I28" s="226"/>
      <c r="J28" s="226">
        <v>183000</v>
      </c>
      <c r="K28" s="226">
        <v>23440</v>
      </c>
      <c r="L28" s="226">
        <f>SUM(E28:K28)</f>
        <v>673940</v>
      </c>
    </row>
    <row r="29" spans="5:12" ht="13.5" thickBot="1">
      <c r="E29" s="230">
        <f>SUM(E30:E33)</f>
        <v>225979.16</v>
      </c>
      <c r="F29" s="230">
        <f aca="true" t="shared" si="0" ref="F29:L29">SUM(F30:F33)</f>
        <v>228218.25</v>
      </c>
      <c r="G29" s="230">
        <f t="shared" si="0"/>
        <v>17357.15</v>
      </c>
      <c r="H29" s="230">
        <f t="shared" si="0"/>
        <v>0</v>
      </c>
      <c r="I29" s="230">
        <f t="shared" si="0"/>
        <v>0</v>
      </c>
      <c r="J29" s="230">
        <f t="shared" si="0"/>
        <v>174679.62</v>
      </c>
      <c r="K29" s="230">
        <f t="shared" si="0"/>
        <v>23440</v>
      </c>
      <c r="L29" s="230">
        <f t="shared" si="0"/>
        <v>669674.1800000002</v>
      </c>
    </row>
    <row r="30" spans="5:12" ht="13.5" thickBot="1">
      <c r="E30" s="227">
        <v>79902.75</v>
      </c>
      <c r="F30" s="228">
        <v>51812.58</v>
      </c>
      <c r="G30" s="228">
        <v>3215.95</v>
      </c>
      <c r="H30" s="228"/>
      <c r="I30" s="228"/>
      <c r="J30" s="228">
        <v>82185.46</v>
      </c>
      <c r="K30" s="228">
        <v>16656</v>
      </c>
      <c r="L30" s="223">
        <f>SUM(E30:K30)</f>
        <v>233772.74000000005</v>
      </c>
    </row>
    <row r="31" spans="2:12" ht="13.5" thickBot="1">
      <c r="B31" s="277" t="s">
        <v>363</v>
      </c>
      <c r="C31" s="278">
        <f>C4-C36</f>
        <v>3432.455999999889</v>
      </c>
      <c r="D31" s="176">
        <f>D3-D35</f>
        <v>4290.569999999949</v>
      </c>
      <c r="E31" s="227">
        <v>146076.41</v>
      </c>
      <c r="F31" s="228">
        <v>176405.67</v>
      </c>
      <c r="G31" s="228">
        <v>14141.2</v>
      </c>
      <c r="H31" s="228"/>
      <c r="I31" s="228"/>
      <c r="J31" s="228">
        <v>92494.16</v>
      </c>
      <c r="K31" s="228">
        <v>6784</v>
      </c>
      <c r="L31" s="223">
        <f>SUM(E31:K31)</f>
        <v>435901.44000000006</v>
      </c>
    </row>
    <row r="32" spans="5:12" ht="13.5" thickBot="1">
      <c r="E32" s="227"/>
      <c r="F32" s="228"/>
      <c r="G32" s="228"/>
      <c r="H32" s="228"/>
      <c r="I32" s="228"/>
      <c r="J32" s="228"/>
      <c r="K32" s="228"/>
      <c r="L32" s="223">
        <f>SUM(E32:K32)</f>
        <v>0</v>
      </c>
    </row>
    <row r="33" spans="5:12" ht="13.5" thickBot="1">
      <c r="E33" s="227"/>
      <c r="F33" s="228"/>
      <c r="G33" s="228"/>
      <c r="H33" s="228"/>
      <c r="I33" s="228"/>
      <c r="J33" s="228"/>
      <c r="K33" s="228"/>
      <c r="L33" s="223">
        <f>SUM(E33:K33)</f>
        <v>0</v>
      </c>
    </row>
    <row r="34" ht="13.5" thickBot="1"/>
    <row r="35" spans="2:4" ht="12.75">
      <c r="B35" s="263"/>
      <c r="C35" s="256"/>
      <c r="D35" s="262">
        <v>669649.43</v>
      </c>
    </row>
    <row r="36" spans="2:4" ht="12.75">
      <c r="B36" s="264" t="s">
        <v>71</v>
      </c>
      <c r="C36" s="154">
        <f>D35*80/100</f>
        <v>535719.5440000001</v>
      </c>
      <c r="D36" s="258"/>
    </row>
    <row r="37" spans="2:4" ht="12.75">
      <c r="B37" s="265" t="s">
        <v>72</v>
      </c>
      <c r="C37" s="257">
        <f>5*C36/100</f>
        <v>26785.97720000001</v>
      </c>
      <c r="D37" s="259"/>
    </row>
    <row r="38" spans="2:4" ht="12.75">
      <c r="B38" s="265" t="s">
        <v>75</v>
      </c>
      <c r="C38" s="257">
        <f>95*C36/100</f>
        <v>508933.5668000001</v>
      </c>
      <c r="D38" s="259"/>
    </row>
    <row r="39" spans="2:9" ht="12.75">
      <c r="B39" s="265" t="s">
        <v>74</v>
      </c>
      <c r="C39" s="257">
        <v>161745.6</v>
      </c>
      <c r="D39" s="258">
        <f>SUM(C39:C40)</f>
        <v>348763.80000000005</v>
      </c>
      <c r="H39" s="164"/>
      <c r="I39" s="164"/>
    </row>
    <row r="40" spans="2:8" ht="12.75">
      <c r="B40" s="266" t="s">
        <v>365</v>
      </c>
      <c r="C40" s="257">
        <v>187018.2</v>
      </c>
      <c r="D40" s="258"/>
      <c r="H40" s="164"/>
    </row>
    <row r="41" spans="2:4" ht="13.5" thickBot="1">
      <c r="B41" s="267" t="s">
        <v>40</v>
      </c>
      <c r="C41" s="260">
        <f>C38-D39</f>
        <v>160169.76680000004</v>
      </c>
      <c r="D41" s="261">
        <f>SUM(C39:C41)</f>
        <v>508933.5668000001</v>
      </c>
    </row>
    <row r="43" ht="12.75">
      <c r="E43" s="164"/>
    </row>
    <row r="44" ht="12.75">
      <c r="E44" s="164"/>
    </row>
    <row r="45" ht="12.75">
      <c r="E45" s="164"/>
    </row>
    <row r="46" ht="12.75">
      <c r="E46" s="164"/>
    </row>
    <row r="50" ht="12.75">
      <c r="E50" s="164"/>
    </row>
    <row r="63" ht="12.75">
      <c r="E63" s="164"/>
    </row>
    <row r="65" ht="12.75">
      <c r="E65" s="164"/>
    </row>
  </sheetData>
  <sheetProtection/>
  <mergeCells count="14">
    <mergeCell ref="L12:M12"/>
    <mergeCell ref="L11:M11"/>
    <mergeCell ref="L9:M9"/>
    <mergeCell ref="B3:C3"/>
    <mergeCell ref="D8:D9"/>
    <mergeCell ref="F8:G8"/>
    <mergeCell ref="H8:K8"/>
    <mergeCell ref="I26:I27"/>
    <mergeCell ref="J26:J27"/>
    <mergeCell ref="K26:K27"/>
    <mergeCell ref="E26:E27"/>
    <mergeCell ref="F26:F27"/>
    <mergeCell ref="G26:G27"/>
    <mergeCell ref="H26:H27"/>
  </mergeCell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9"/>
  </sheetPr>
  <dimension ref="B3:N65"/>
  <sheetViews>
    <sheetView zoomScalePageLayoutView="0" workbookViewId="0" topLeftCell="A1">
      <selection activeCell="G42" sqref="G42"/>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6" ht="13.5" thickBot="1">
      <c r="B3" s="351" t="s">
        <v>221</v>
      </c>
      <c r="C3" s="352"/>
      <c r="D3" s="146">
        <v>510000</v>
      </c>
      <c r="E3" s="112"/>
      <c r="F3" s="112"/>
    </row>
    <row r="4" spans="2:4" ht="12.75">
      <c r="B4" s="138" t="s">
        <v>71</v>
      </c>
      <c r="C4" s="159">
        <v>408000</v>
      </c>
      <c r="D4" s="147"/>
    </row>
    <row r="5" spans="2:4" ht="12.75">
      <c r="B5" s="132" t="s">
        <v>72</v>
      </c>
      <c r="C5" s="154">
        <f>5*C4/100</f>
        <v>20400</v>
      </c>
      <c r="D5" s="132"/>
    </row>
    <row r="6" spans="2:3" ht="12.75">
      <c r="B6" s="132" t="s">
        <v>75</v>
      </c>
      <c r="C6" s="133">
        <f>95*C4/100</f>
        <v>387600</v>
      </c>
    </row>
    <row r="7" spans="2:4" ht="13.5" thickBot="1">
      <c r="B7" s="132" t="s">
        <v>74</v>
      </c>
      <c r="C7" s="154">
        <f>30*C4/100</f>
        <v>122400</v>
      </c>
      <c r="D7" s="132"/>
    </row>
    <row r="8" spans="2:13" ht="13.5" thickBot="1">
      <c r="B8" s="132" t="s">
        <v>73</v>
      </c>
      <c r="C8" s="139">
        <f>65*C4/100</f>
        <v>265200</v>
      </c>
      <c r="D8" s="353" t="s">
        <v>154</v>
      </c>
      <c r="E8" s="151" t="s">
        <v>143</v>
      </c>
      <c r="F8" s="355" t="s">
        <v>684</v>
      </c>
      <c r="G8" s="356"/>
      <c r="H8" s="357" t="s">
        <v>147</v>
      </c>
      <c r="I8" s="358"/>
      <c r="J8" s="358"/>
      <c r="K8" s="359"/>
      <c r="L8" s="167" t="s">
        <v>148</v>
      </c>
      <c r="M8" s="168" t="s">
        <v>149</v>
      </c>
    </row>
    <row r="9" spans="2:14" ht="13.5" thickBot="1">
      <c r="B9" s="134" t="s">
        <v>77</v>
      </c>
      <c r="C9" s="139">
        <f>C10+C11+C12</f>
        <v>407999.952</v>
      </c>
      <c r="D9" s="354"/>
      <c r="E9" s="330">
        <f>SUM(E10:E13)</f>
        <v>509999.94</v>
      </c>
      <c r="F9" s="153" t="s">
        <v>141</v>
      </c>
      <c r="G9" s="148" t="s">
        <v>142</v>
      </c>
      <c r="H9" s="149" t="s">
        <v>144</v>
      </c>
      <c r="I9" s="150" t="s">
        <v>145</v>
      </c>
      <c r="J9" s="150" t="s">
        <v>147</v>
      </c>
      <c r="K9" s="166" t="s">
        <v>251</v>
      </c>
      <c r="L9" s="370" t="s">
        <v>150</v>
      </c>
      <c r="M9" s="361"/>
      <c r="N9" s="150" t="s">
        <v>146</v>
      </c>
    </row>
    <row r="10" spans="2:14" ht="12.75">
      <c r="B10" s="134" t="s">
        <v>76</v>
      </c>
      <c r="C10" s="243">
        <f>E10*80/100</f>
        <v>200295.75199999998</v>
      </c>
      <c r="D10" s="250">
        <v>39704</v>
      </c>
      <c r="E10" s="272">
        <f>SUM(F10:N10)</f>
        <v>250369.69</v>
      </c>
      <c r="F10" s="251"/>
      <c r="G10" s="251">
        <v>98063.56</v>
      </c>
      <c r="H10" s="251"/>
      <c r="I10" s="251"/>
      <c r="J10" s="251">
        <v>9761.02</v>
      </c>
      <c r="K10" s="251"/>
      <c r="L10" s="387">
        <f>113121.11+29424</f>
        <v>142545.11</v>
      </c>
      <c r="M10" s="388"/>
      <c r="N10" s="251"/>
    </row>
    <row r="11" spans="2:14" ht="12.75">
      <c r="B11" s="134" t="s">
        <v>78</v>
      </c>
      <c r="C11" s="243">
        <f>E11*80/100</f>
        <v>207704.2</v>
      </c>
      <c r="D11" s="250">
        <v>39706</v>
      </c>
      <c r="E11" s="272">
        <f>SUM(F11:N11)</f>
        <v>259630.25</v>
      </c>
      <c r="F11" s="251">
        <v>100002</v>
      </c>
      <c r="G11" s="251">
        <v>129648.44</v>
      </c>
      <c r="H11" s="251"/>
      <c r="I11" s="251"/>
      <c r="J11" s="251">
        <v>14524.92</v>
      </c>
      <c r="K11" s="251"/>
      <c r="L11" s="385">
        <v>15454.89</v>
      </c>
      <c r="M11" s="386"/>
      <c r="N11" s="251"/>
    </row>
    <row r="12" spans="2:12" ht="13.5" thickBot="1">
      <c r="B12" s="136" t="s">
        <v>79</v>
      </c>
      <c r="C12" s="137"/>
      <c r="D12" s="155"/>
      <c r="G12" s="164"/>
      <c r="L12" s="164"/>
    </row>
    <row r="13" spans="2:13" ht="12.75">
      <c r="B13" s="145" t="s">
        <v>80</v>
      </c>
      <c r="C13" s="141">
        <f>10*D3/100</f>
        <v>51000</v>
      </c>
      <c r="E13" s="313"/>
      <c r="F13" s="164"/>
      <c r="G13" s="164"/>
      <c r="H13" s="164"/>
      <c r="I13" s="164"/>
      <c r="J13" s="164"/>
      <c r="K13" s="164"/>
      <c r="L13" s="164"/>
      <c r="M13" s="164"/>
    </row>
    <row r="14" spans="2:13" ht="12.75">
      <c r="B14" s="134" t="s">
        <v>82</v>
      </c>
      <c r="C14" s="140">
        <f>C15+C16+C17</f>
        <v>0</v>
      </c>
      <c r="F14" s="164"/>
      <c r="G14" s="176"/>
      <c r="J14" s="164"/>
      <c r="L14" s="164"/>
      <c r="M14" s="164"/>
    </row>
    <row r="15" spans="2:9" ht="12.75">
      <c r="B15" s="142" t="s">
        <v>81</v>
      </c>
      <c r="C15" s="133"/>
      <c r="F15" s="164"/>
      <c r="G15" s="111"/>
      <c r="H15" s="111"/>
      <c r="I15" s="111"/>
    </row>
    <row r="16" spans="2:10" ht="12.75">
      <c r="B16" s="142" t="s">
        <v>83</v>
      </c>
      <c r="C16" s="133"/>
      <c r="E16" s="202"/>
      <c r="F16" s="203"/>
      <c r="G16" s="203"/>
      <c r="H16" s="203"/>
      <c r="I16" s="204"/>
      <c r="J16" s="176"/>
    </row>
    <row r="17" spans="2:8" ht="12.75">
      <c r="B17" s="142" t="s">
        <v>84</v>
      </c>
      <c r="C17" s="133"/>
      <c r="H17" s="201"/>
    </row>
    <row r="18" spans="2:3" ht="12.75">
      <c r="B18" s="132"/>
      <c r="C18" s="133"/>
    </row>
    <row r="19" spans="2:3" ht="13.5" thickBot="1">
      <c r="B19" s="143"/>
      <c r="C19" s="144"/>
    </row>
    <row r="20" spans="2:4" ht="12.75">
      <c r="B20" s="145" t="s">
        <v>273</v>
      </c>
      <c r="C20" s="331">
        <f>5*D3/100</f>
        <v>25500</v>
      </c>
      <c r="D20" s="220"/>
    </row>
    <row r="21" spans="2:3" ht="12.75">
      <c r="B21" s="134" t="s">
        <v>274</v>
      </c>
      <c r="C21" s="140">
        <f>C22+C23+C24</f>
        <v>24285.940000000002</v>
      </c>
    </row>
    <row r="22" spans="2:3" ht="12.75">
      <c r="B22" s="142" t="s">
        <v>275</v>
      </c>
      <c r="C22" s="243">
        <f>H10+I10+J10+K10</f>
        <v>9761.02</v>
      </c>
    </row>
    <row r="23" spans="2:3" ht="12.75">
      <c r="B23" s="142" t="s">
        <v>48</v>
      </c>
      <c r="C23" s="243">
        <f>H11+I11+J11+K11</f>
        <v>14524.92</v>
      </c>
    </row>
    <row r="24" spans="2:7" ht="13.5" thickBot="1">
      <c r="B24" s="142" t="s">
        <v>277</v>
      </c>
      <c r="C24" s="133"/>
      <c r="G24" s="154"/>
    </row>
    <row r="25" spans="2:12" ht="12.75">
      <c r="B25" s="132"/>
      <c r="C25" s="133"/>
      <c r="E25" s="346" t="s">
        <v>361</v>
      </c>
      <c r="F25" s="346" t="s">
        <v>374</v>
      </c>
      <c r="G25" s="346" t="s">
        <v>375</v>
      </c>
      <c r="H25" s="346" t="s">
        <v>220</v>
      </c>
      <c r="I25" s="346" t="s">
        <v>376</v>
      </c>
      <c r="J25" s="346" t="s">
        <v>379</v>
      </c>
      <c r="K25" s="346" t="s">
        <v>377</v>
      </c>
      <c r="L25" s="224" t="s">
        <v>378</v>
      </c>
    </row>
    <row r="26" spans="2:12" ht="13.5" thickBot="1">
      <c r="B26" s="143"/>
      <c r="C26" s="144"/>
      <c r="E26" s="347"/>
      <c r="F26" s="347"/>
      <c r="G26" s="347"/>
      <c r="H26" s="347"/>
      <c r="I26" s="347"/>
      <c r="J26" s="347"/>
      <c r="K26" s="347"/>
      <c r="L26" s="225"/>
    </row>
    <row r="27" spans="4:12" ht="15.75" thickBot="1">
      <c r="D27" s="231" t="s">
        <v>56</v>
      </c>
      <c r="E27" s="229">
        <v>191712</v>
      </c>
      <c r="F27" s="226">
        <v>120002</v>
      </c>
      <c r="G27" s="226"/>
      <c r="H27" s="226"/>
      <c r="I27" s="226">
        <v>72000</v>
      </c>
      <c r="J27" s="242">
        <v>102000</v>
      </c>
      <c r="K27" s="226">
        <v>24286</v>
      </c>
      <c r="L27" s="226">
        <f>SUM(E27:K27)</f>
        <v>510000</v>
      </c>
    </row>
    <row r="28" spans="5:12" ht="13.5" thickBot="1">
      <c r="E28" s="230">
        <f aca="true" t="shared" si="0" ref="E28:L28">SUM(E29:E32)</f>
        <v>0</v>
      </c>
      <c r="F28" s="230">
        <f t="shared" si="0"/>
        <v>98063.56</v>
      </c>
      <c r="G28" s="230">
        <f t="shared" si="0"/>
        <v>0</v>
      </c>
      <c r="H28" s="230">
        <f t="shared" si="0"/>
        <v>0</v>
      </c>
      <c r="I28" s="230">
        <f t="shared" si="0"/>
        <v>29424</v>
      </c>
      <c r="J28" s="230">
        <f t="shared" si="0"/>
        <v>113121.11</v>
      </c>
      <c r="K28" s="230">
        <f t="shared" si="0"/>
        <v>9761.02</v>
      </c>
      <c r="L28" s="230">
        <f t="shared" si="0"/>
        <v>250369.68999999997</v>
      </c>
    </row>
    <row r="29" spans="5:12" ht="13.5" thickBot="1">
      <c r="E29" s="247"/>
      <c r="F29" s="248">
        <v>98063.56</v>
      </c>
      <c r="G29" s="248"/>
      <c r="H29" s="248"/>
      <c r="I29" s="248">
        <v>29424</v>
      </c>
      <c r="J29" s="248">
        <v>113121.11</v>
      </c>
      <c r="K29" s="248">
        <v>9761.02</v>
      </c>
      <c r="L29" s="249">
        <f>SUM(E29:K29)</f>
        <v>250369.68999999997</v>
      </c>
    </row>
    <row r="30" spans="5:12" ht="13.5" thickBot="1">
      <c r="E30" s="248"/>
      <c r="F30" s="248"/>
      <c r="G30" s="248"/>
      <c r="H30" s="248"/>
      <c r="I30" s="248"/>
      <c r="J30" s="248"/>
      <c r="K30" s="248"/>
      <c r="L30" s="248">
        <f>SUM(E30:K30)</f>
        <v>0</v>
      </c>
    </row>
    <row r="31" spans="5:12" ht="13.5" thickBot="1">
      <c r="E31" s="227"/>
      <c r="F31" s="228"/>
      <c r="G31" s="228"/>
      <c r="H31" s="228"/>
      <c r="I31" s="228"/>
      <c r="J31" s="228"/>
      <c r="K31" s="228"/>
      <c r="L31" s="223">
        <f>SUM(E31:K31)</f>
        <v>0</v>
      </c>
    </row>
    <row r="32" spans="5:12" ht="13.5" thickBot="1">
      <c r="E32" s="227"/>
      <c r="F32" s="228"/>
      <c r="G32" s="228"/>
      <c r="H32" s="228"/>
      <c r="I32" s="228"/>
      <c r="J32" s="228"/>
      <c r="K32" s="228"/>
      <c r="L32" s="223">
        <f>SUM(E32:K32)</f>
        <v>0</v>
      </c>
    </row>
    <row r="33" ht="13.5" thickBot="1"/>
    <row r="34" spans="2:4" ht="12.75">
      <c r="B34" s="263"/>
      <c r="C34" s="256"/>
      <c r="D34" s="262">
        <v>509999.94</v>
      </c>
    </row>
    <row r="35" spans="2:4" ht="13.5" thickBot="1">
      <c r="B35" s="264" t="s">
        <v>71</v>
      </c>
      <c r="C35" s="154">
        <f>D34*80/100</f>
        <v>407999.95200000005</v>
      </c>
      <c r="D35" s="258"/>
    </row>
    <row r="36" spans="2:5" ht="13.5" thickBot="1">
      <c r="B36" s="265" t="s">
        <v>72</v>
      </c>
      <c r="C36" s="257">
        <f>5*C35/100</f>
        <v>20399.997600000002</v>
      </c>
      <c r="D36" s="259"/>
      <c r="E36" s="276">
        <f>C36+C42</f>
        <v>285599.95200000005</v>
      </c>
    </row>
    <row r="37" spans="2:4" ht="12.75">
      <c r="B37" s="265" t="s">
        <v>75</v>
      </c>
      <c r="C37" s="257">
        <f>95*C35/100</f>
        <v>387599.95440000005</v>
      </c>
      <c r="D37" s="259"/>
    </row>
    <row r="38" spans="2:4" ht="12.75">
      <c r="B38" s="265" t="s">
        <v>74</v>
      </c>
      <c r="C38" s="154">
        <v>122400</v>
      </c>
      <c r="D38" s="258">
        <f>SUM(C38:C41)</f>
        <v>122400</v>
      </c>
    </row>
    <row r="39" spans="2:4" ht="12.75">
      <c r="B39" s="266" t="s">
        <v>76</v>
      </c>
      <c r="C39" s="257"/>
      <c r="D39" s="258"/>
    </row>
    <row r="40" spans="2:4" ht="12.75">
      <c r="B40" s="266" t="s">
        <v>78</v>
      </c>
      <c r="C40" s="257"/>
      <c r="D40" s="258"/>
    </row>
    <row r="41" spans="2:4" ht="12.75">
      <c r="B41" s="134" t="s">
        <v>79</v>
      </c>
      <c r="C41" s="273"/>
      <c r="D41" s="274"/>
    </row>
    <row r="42" spans="2:4" ht="13.5" thickBot="1">
      <c r="B42" s="267" t="s">
        <v>40</v>
      </c>
      <c r="C42" s="260">
        <f>C37-D38</f>
        <v>265199.95440000005</v>
      </c>
      <c r="D42" s="261">
        <f>SUM(C38:C42)</f>
        <v>387599.95440000005</v>
      </c>
    </row>
    <row r="43" ht="12.75">
      <c r="E43" s="164"/>
    </row>
    <row r="44" ht="12.75">
      <c r="E44" s="164"/>
    </row>
    <row r="45" ht="12.75">
      <c r="E45" s="164"/>
    </row>
    <row r="46" ht="12.75">
      <c r="E46" s="164"/>
    </row>
    <row r="50" ht="12.75">
      <c r="E50" s="164"/>
    </row>
    <row r="63" ht="12.75">
      <c r="E63" s="164"/>
    </row>
    <row r="65" ht="12.75">
      <c r="E65" s="164"/>
    </row>
  </sheetData>
  <sheetProtection/>
  <mergeCells count="14">
    <mergeCell ref="I25:I26"/>
    <mergeCell ref="J25:J26"/>
    <mergeCell ref="K25:K26"/>
    <mergeCell ref="E25:E26"/>
    <mergeCell ref="F25:F26"/>
    <mergeCell ref="G25:G26"/>
    <mergeCell ref="H25:H26"/>
    <mergeCell ref="L11:M11"/>
    <mergeCell ref="L9:M9"/>
    <mergeCell ref="B3:C3"/>
    <mergeCell ref="D8:D9"/>
    <mergeCell ref="F8:G8"/>
    <mergeCell ref="H8:K8"/>
    <mergeCell ref="L10:M10"/>
  </mergeCell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B3:N65"/>
  <sheetViews>
    <sheetView zoomScalePageLayoutView="0" workbookViewId="0" topLeftCell="A1">
      <selection activeCell="E10" sqref="E10"/>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13.8515625" style="0" customWidth="1"/>
    <col min="12" max="12" width="27.00390625" style="0" bestFit="1" customWidth="1"/>
    <col min="13" max="13" width="13.57421875" style="0" bestFit="1" customWidth="1"/>
    <col min="14" max="14" width="14.8515625" style="0" bestFit="1" customWidth="1"/>
  </cols>
  <sheetData>
    <row r="2" ht="13.5" thickBot="1"/>
    <row r="3" spans="2:6" ht="13.5" thickBot="1">
      <c r="B3" s="351" t="s">
        <v>678</v>
      </c>
      <c r="C3" s="352"/>
      <c r="D3" s="146">
        <v>700000</v>
      </c>
      <c r="E3" s="112"/>
      <c r="F3" s="112"/>
    </row>
    <row r="4" spans="2:4" ht="12.75">
      <c r="B4" s="138" t="s">
        <v>71</v>
      </c>
      <c r="C4" s="159">
        <v>560000</v>
      </c>
      <c r="D4" s="147"/>
    </row>
    <row r="5" spans="2:4" ht="12.75">
      <c r="B5" s="132" t="s">
        <v>72</v>
      </c>
      <c r="C5" s="154">
        <f>5*C4/100</f>
        <v>28000</v>
      </c>
      <c r="D5" s="132"/>
    </row>
    <row r="6" spans="2:3" ht="12.75">
      <c r="B6" s="132" t="s">
        <v>75</v>
      </c>
      <c r="C6" s="133">
        <f>95*C4/100</f>
        <v>532000</v>
      </c>
    </row>
    <row r="7" spans="2:4" ht="13.5" thickBot="1">
      <c r="B7" s="132" t="s">
        <v>74</v>
      </c>
      <c r="C7" s="154">
        <f>30*C4/100</f>
        <v>168000</v>
      </c>
      <c r="D7" s="132"/>
    </row>
    <row r="8" spans="2:13" ht="13.5" thickBot="1">
      <c r="B8" s="132" t="s">
        <v>73</v>
      </c>
      <c r="C8" s="139">
        <f>65*C4/100</f>
        <v>364000</v>
      </c>
      <c r="D8" s="353" t="s">
        <v>154</v>
      </c>
      <c r="E8" s="151" t="s">
        <v>143</v>
      </c>
      <c r="F8" s="355" t="s">
        <v>684</v>
      </c>
      <c r="G8" s="356"/>
      <c r="H8" s="357" t="s">
        <v>147</v>
      </c>
      <c r="I8" s="358"/>
      <c r="J8" s="358"/>
      <c r="K8" s="359"/>
      <c r="L8" s="167" t="s">
        <v>148</v>
      </c>
      <c r="M8" s="168" t="s">
        <v>149</v>
      </c>
    </row>
    <row r="9" spans="2:14" ht="13.5" thickBot="1">
      <c r="B9" s="134" t="s">
        <v>77</v>
      </c>
      <c r="C9" s="139">
        <f>C10+C11+C12</f>
        <v>170449.52</v>
      </c>
      <c r="D9" s="354"/>
      <c r="E9" s="157">
        <f>SUM(E11:E12)</f>
        <v>0</v>
      </c>
      <c r="F9" s="153" t="s">
        <v>141</v>
      </c>
      <c r="G9" s="148" t="s">
        <v>142</v>
      </c>
      <c r="H9" s="149" t="s">
        <v>144</v>
      </c>
      <c r="I9" s="150" t="s">
        <v>145</v>
      </c>
      <c r="J9" s="150" t="s">
        <v>147</v>
      </c>
      <c r="K9" s="166" t="s">
        <v>251</v>
      </c>
      <c r="L9" s="370" t="s">
        <v>150</v>
      </c>
      <c r="M9" s="361"/>
      <c r="N9" s="150" t="s">
        <v>146</v>
      </c>
    </row>
    <row r="10" spans="2:14" ht="12.75">
      <c r="B10" s="134" t="s">
        <v>76</v>
      </c>
      <c r="C10" s="184">
        <f>E10*80/100</f>
        <v>170449.52</v>
      </c>
      <c r="D10" s="207" t="s">
        <v>702</v>
      </c>
      <c r="E10" s="292">
        <f>SUM(F10:N10)</f>
        <v>213061.90000000002</v>
      </c>
      <c r="F10" s="291">
        <v>10999.66</v>
      </c>
      <c r="G10" s="291"/>
      <c r="H10" s="291"/>
      <c r="I10" s="291"/>
      <c r="J10" s="291">
        <v>3509.04</v>
      </c>
      <c r="K10" s="291"/>
      <c r="L10" s="291"/>
      <c r="M10" s="291">
        <v>198553.2</v>
      </c>
      <c r="N10" s="291"/>
    </row>
    <row r="11" spans="2:14" ht="12.75">
      <c r="B11" s="134" t="s">
        <v>381</v>
      </c>
      <c r="C11" s="184">
        <f>E11*80/100</f>
        <v>0</v>
      </c>
      <c r="D11" s="155" t="s">
        <v>372</v>
      </c>
      <c r="E11" s="209"/>
      <c r="F11" s="210"/>
      <c r="G11" s="210"/>
      <c r="H11" s="211"/>
      <c r="I11" s="210"/>
      <c r="J11" s="210"/>
      <c r="K11" s="210"/>
      <c r="L11" s="210"/>
      <c r="M11" s="210"/>
      <c r="N11" s="210"/>
    </row>
    <row r="12" spans="2:13" ht="13.5" thickBot="1">
      <c r="B12" s="136" t="s">
        <v>79</v>
      </c>
      <c r="C12" s="137"/>
      <c r="D12" s="155"/>
      <c r="G12" s="164"/>
      <c r="L12" s="164"/>
      <c r="M12" s="164"/>
    </row>
    <row r="13" spans="2:7" ht="12.75">
      <c r="B13" s="145" t="s">
        <v>80</v>
      </c>
      <c r="C13" s="141">
        <f>10*D3/100</f>
        <v>70000</v>
      </c>
      <c r="G13" s="176"/>
    </row>
    <row r="14" spans="2:3" ht="12.75">
      <c r="B14" s="134" t="s">
        <v>82</v>
      </c>
      <c r="C14" s="140">
        <f>C15+C16+C17</f>
        <v>0</v>
      </c>
    </row>
    <row r="15" spans="2:9" ht="12.75">
      <c r="B15" s="142" t="s">
        <v>81</v>
      </c>
      <c r="C15" s="133"/>
      <c r="G15" s="111"/>
      <c r="H15" s="111"/>
      <c r="I15" s="111"/>
    </row>
    <row r="16" spans="2:10" ht="12.75">
      <c r="B16" s="142" t="s">
        <v>382</v>
      </c>
      <c r="C16" s="133"/>
      <c r="E16" s="202"/>
      <c r="F16" s="203"/>
      <c r="G16" s="203"/>
      <c r="H16" s="203"/>
      <c r="I16" s="204"/>
      <c r="J16" s="176"/>
    </row>
    <row r="17" spans="2:8" ht="12.75">
      <c r="B17" s="142" t="s">
        <v>84</v>
      </c>
      <c r="C17" s="133"/>
      <c r="H17" s="201"/>
    </row>
    <row r="18" spans="2:3" ht="12.75">
      <c r="B18" s="132"/>
      <c r="C18" s="133"/>
    </row>
    <row r="19" spans="2:3" ht="13.5" thickBot="1">
      <c r="B19" s="143"/>
      <c r="C19" s="144"/>
    </row>
    <row r="20" spans="2:3" ht="12.75">
      <c r="B20" s="145" t="s">
        <v>273</v>
      </c>
      <c r="C20" s="214">
        <f>5*D3/100</f>
        <v>35000</v>
      </c>
    </row>
    <row r="21" spans="2:3" ht="12.75">
      <c r="B21" s="134" t="s">
        <v>274</v>
      </c>
      <c r="C21" s="140">
        <f>C22+C23+C24</f>
        <v>3509.04</v>
      </c>
    </row>
    <row r="22" spans="2:3" ht="12.75">
      <c r="B22" s="142" t="s">
        <v>275</v>
      </c>
      <c r="C22" s="133">
        <f>H10+I10+J10+K10</f>
        <v>3509.04</v>
      </c>
    </row>
    <row r="23" spans="2:3" ht="12.75">
      <c r="B23" s="142" t="s">
        <v>383</v>
      </c>
      <c r="C23" s="133">
        <f>H11+I11+J11+K11</f>
        <v>0</v>
      </c>
    </row>
    <row r="24" spans="2:7" ht="13.5" thickBot="1">
      <c r="B24" s="142" t="s">
        <v>277</v>
      </c>
      <c r="C24" s="133"/>
      <c r="G24" s="154"/>
    </row>
    <row r="25" spans="2:12" ht="12.75">
      <c r="B25" s="132"/>
      <c r="C25" s="133"/>
      <c r="E25" s="346" t="s">
        <v>361</v>
      </c>
      <c r="F25" s="346" t="s">
        <v>374</v>
      </c>
      <c r="G25" s="346" t="s">
        <v>375</v>
      </c>
      <c r="H25" s="346" t="s">
        <v>220</v>
      </c>
      <c r="I25" s="346" t="s">
        <v>376</v>
      </c>
      <c r="J25" s="346" t="s">
        <v>379</v>
      </c>
      <c r="K25" s="346" t="s">
        <v>377</v>
      </c>
      <c r="L25" s="224" t="s">
        <v>378</v>
      </c>
    </row>
    <row r="26" spans="2:12" ht="13.5" thickBot="1">
      <c r="B26" s="143"/>
      <c r="C26" s="144"/>
      <c r="E26" s="347"/>
      <c r="F26" s="347"/>
      <c r="G26" s="347"/>
      <c r="H26" s="347"/>
      <c r="I26" s="347"/>
      <c r="J26" s="347"/>
      <c r="K26" s="347"/>
      <c r="L26" s="225"/>
    </row>
    <row r="27" spans="4:12" ht="15.75" thickBot="1">
      <c r="D27" s="231" t="s">
        <v>56</v>
      </c>
      <c r="E27" s="229">
        <v>370000</v>
      </c>
      <c r="F27" s="226">
        <v>135000</v>
      </c>
      <c r="G27" s="226">
        <v>60000</v>
      </c>
      <c r="H27" s="226"/>
      <c r="I27" s="226">
        <v>60000</v>
      </c>
      <c r="J27" s="226">
        <v>40000</v>
      </c>
      <c r="K27" s="226">
        <v>35000</v>
      </c>
      <c r="L27" s="226">
        <f>SUM(E27:K27)</f>
        <v>700000</v>
      </c>
    </row>
    <row r="28" spans="5:12" ht="13.5" thickBot="1">
      <c r="E28" s="230">
        <f aca="true" t="shared" si="0" ref="E28:L28">SUM(E29:E32)</f>
        <v>10999.66</v>
      </c>
      <c r="F28" s="230">
        <f t="shared" si="0"/>
        <v>181284</v>
      </c>
      <c r="G28" s="230">
        <f t="shared" si="0"/>
        <v>0</v>
      </c>
      <c r="H28" s="230">
        <f t="shared" si="0"/>
        <v>0</v>
      </c>
      <c r="I28" s="230">
        <f t="shared" si="0"/>
        <v>17269.2</v>
      </c>
      <c r="J28" s="230">
        <f t="shared" si="0"/>
        <v>0</v>
      </c>
      <c r="K28" s="230">
        <f t="shared" si="0"/>
        <v>3509.04</v>
      </c>
      <c r="L28" s="230">
        <f t="shared" si="0"/>
        <v>213061.90000000002</v>
      </c>
    </row>
    <row r="29" spans="5:12" ht="13.5" thickBot="1">
      <c r="E29" s="227">
        <v>10999.66</v>
      </c>
      <c r="F29" s="228">
        <v>181284</v>
      </c>
      <c r="G29" s="228"/>
      <c r="H29" s="228"/>
      <c r="I29" s="228">
        <v>17269.2</v>
      </c>
      <c r="J29" s="228"/>
      <c r="K29" s="228">
        <v>3509.04</v>
      </c>
      <c r="L29" s="223">
        <f>SUM(E29:K29)</f>
        <v>213061.90000000002</v>
      </c>
    </row>
    <row r="30" spans="5:12" ht="13.5" thickBot="1">
      <c r="E30" s="227"/>
      <c r="F30" s="228"/>
      <c r="G30" s="228"/>
      <c r="H30" s="228"/>
      <c r="I30" s="228"/>
      <c r="J30" s="228"/>
      <c r="K30" s="228"/>
      <c r="L30" s="223">
        <f>SUM(E30:K30)</f>
        <v>0</v>
      </c>
    </row>
    <row r="31" spans="5:12" ht="13.5" thickBot="1">
      <c r="E31" s="227"/>
      <c r="F31" s="228"/>
      <c r="G31" s="228"/>
      <c r="H31" s="228"/>
      <c r="I31" s="228"/>
      <c r="J31" s="228"/>
      <c r="K31" s="228"/>
      <c r="L31" s="223">
        <f>SUM(E31:K31)</f>
        <v>0</v>
      </c>
    </row>
    <row r="32" spans="5:12" ht="13.5" thickBot="1">
      <c r="E32" s="227"/>
      <c r="F32" s="228"/>
      <c r="G32" s="228"/>
      <c r="H32" s="228"/>
      <c r="I32" s="228"/>
      <c r="J32" s="228"/>
      <c r="K32" s="228"/>
      <c r="L32" s="223">
        <f>SUM(E32:K32)</f>
        <v>0</v>
      </c>
    </row>
    <row r="43" ht="12.75">
      <c r="E43" s="164"/>
    </row>
    <row r="44" ht="12.75">
      <c r="E44" s="164"/>
    </row>
    <row r="45" ht="12.75">
      <c r="E45" s="164"/>
    </row>
    <row r="46" ht="12.75">
      <c r="E46" s="164"/>
    </row>
    <row r="50" ht="12.75">
      <c r="E50" s="164"/>
    </row>
    <row r="63" ht="12.75">
      <c r="E63" s="164"/>
    </row>
    <row r="65" ht="12.75">
      <c r="E65" s="164"/>
    </row>
  </sheetData>
  <sheetProtection/>
  <mergeCells count="12">
    <mergeCell ref="L9:M9"/>
    <mergeCell ref="B3:C3"/>
    <mergeCell ref="D8:D9"/>
    <mergeCell ref="F8:G8"/>
    <mergeCell ref="H8:K8"/>
    <mergeCell ref="I25:I26"/>
    <mergeCell ref="J25:J26"/>
    <mergeCell ref="K25:K26"/>
    <mergeCell ref="E25:E26"/>
    <mergeCell ref="F25:F26"/>
    <mergeCell ref="G25:G26"/>
    <mergeCell ref="H25:H26"/>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K17"/>
  <sheetViews>
    <sheetView zoomScalePageLayoutView="0" workbookViewId="0" topLeftCell="A13">
      <selection activeCell="A13" sqref="A13:IV13"/>
    </sheetView>
  </sheetViews>
  <sheetFormatPr defaultColWidth="9.140625" defaultRowHeight="12.75"/>
  <cols>
    <col min="1" max="1" width="3.421875" style="0" customWidth="1"/>
    <col min="2" max="2" width="4.8515625" style="0" customWidth="1"/>
    <col min="3" max="3" width="18.7109375" style="0" customWidth="1"/>
    <col min="4" max="4" width="14.28125" style="0" customWidth="1"/>
    <col min="5" max="6" width="10.28125" style="0" customWidth="1"/>
    <col min="7" max="7" width="11.7109375" style="0" customWidth="1"/>
    <col min="10" max="10" width="6.7109375" style="0" customWidth="1"/>
    <col min="12" max="12" width="8.00390625" style="0" customWidth="1"/>
    <col min="13" max="13" width="7.421875" style="0" customWidth="1"/>
    <col min="14" max="14" width="6.28125" style="0" customWidth="1"/>
    <col min="15" max="15" width="6.57421875" style="0" customWidth="1"/>
    <col min="16" max="19" width="4.00390625" style="0" customWidth="1"/>
    <col min="20" max="20" width="19.00390625" style="0" customWidth="1"/>
    <col min="21" max="21" width="4.8515625" style="44" customWidth="1"/>
    <col min="22" max="22" width="31.8515625" style="0" customWidth="1"/>
  </cols>
  <sheetData>
    <row r="1" spans="1:245" ht="78" customHeight="1">
      <c r="A1" s="1" t="s">
        <v>401</v>
      </c>
      <c r="B1" s="1" t="s">
        <v>396</v>
      </c>
      <c r="C1" s="1" t="s">
        <v>345</v>
      </c>
      <c r="D1" s="1" t="s">
        <v>346</v>
      </c>
      <c r="E1" s="6" t="s">
        <v>419</v>
      </c>
      <c r="F1" s="6" t="s">
        <v>420</v>
      </c>
      <c r="G1" s="1" t="s">
        <v>397</v>
      </c>
      <c r="H1" s="15" t="s">
        <v>398</v>
      </c>
      <c r="I1" s="15" t="s">
        <v>399</v>
      </c>
      <c r="J1" s="19" t="s">
        <v>472</v>
      </c>
      <c r="K1" s="20" t="s">
        <v>473</v>
      </c>
      <c r="L1" s="1" t="s">
        <v>409</v>
      </c>
      <c r="M1" s="25" t="s">
        <v>410</v>
      </c>
      <c r="N1" s="10" t="s">
        <v>411</v>
      </c>
      <c r="O1" s="1" t="s">
        <v>412</v>
      </c>
      <c r="P1" s="1" t="s">
        <v>413</v>
      </c>
      <c r="Q1" s="1" t="s">
        <v>414</v>
      </c>
      <c r="R1" s="1" t="s">
        <v>467</v>
      </c>
      <c r="S1" s="1" t="s">
        <v>415</v>
      </c>
      <c r="T1" s="1" t="s">
        <v>416</v>
      </c>
      <c r="U1" s="1" t="s">
        <v>418</v>
      </c>
      <c r="V1" s="1" t="s">
        <v>417</v>
      </c>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45">
      <c r="A2" s="30">
        <v>3</v>
      </c>
      <c r="B2" s="1" t="s">
        <v>468</v>
      </c>
      <c r="C2" s="2" t="s">
        <v>422</v>
      </c>
      <c r="D2" s="2" t="s">
        <v>423</v>
      </c>
      <c r="E2" s="14" t="s">
        <v>650</v>
      </c>
      <c r="F2" s="14" t="s">
        <v>651</v>
      </c>
      <c r="G2" s="1" t="s">
        <v>652</v>
      </c>
      <c r="H2" s="16">
        <v>900</v>
      </c>
      <c r="I2" s="16">
        <v>720</v>
      </c>
      <c r="J2" s="35" t="s">
        <v>653</v>
      </c>
      <c r="K2" s="21">
        <v>38980</v>
      </c>
      <c r="L2" s="2" t="s">
        <v>475</v>
      </c>
      <c r="M2" s="26">
        <v>38975</v>
      </c>
      <c r="N2" s="11">
        <v>0.7645833333333334</v>
      </c>
      <c r="O2" s="2" t="s">
        <v>407</v>
      </c>
      <c r="P2" s="2" t="s">
        <v>477</v>
      </c>
      <c r="Q2" s="2" t="s">
        <v>477</v>
      </c>
      <c r="R2" s="2" t="s">
        <v>477</v>
      </c>
      <c r="S2" s="32">
        <v>2</v>
      </c>
      <c r="T2" s="2" t="s">
        <v>140</v>
      </c>
      <c r="U2" s="1" t="s">
        <v>477</v>
      </c>
      <c r="V2" s="2" t="s">
        <v>117</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57.5">
      <c r="A3" s="30">
        <v>12</v>
      </c>
      <c r="B3" s="1" t="s">
        <v>400</v>
      </c>
      <c r="C3" s="2" t="s">
        <v>429</v>
      </c>
      <c r="D3" s="2" t="s">
        <v>358</v>
      </c>
      <c r="E3" s="9" t="s">
        <v>516</v>
      </c>
      <c r="F3" s="9" t="s">
        <v>517</v>
      </c>
      <c r="G3" s="33" t="s">
        <v>518</v>
      </c>
      <c r="H3" s="17">
        <v>1020</v>
      </c>
      <c r="I3" s="17">
        <v>750</v>
      </c>
      <c r="J3" s="36" t="s">
        <v>519</v>
      </c>
      <c r="K3" s="22">
        <v>38988</v>
      </c>
      <c r="L3" s="2" t="s">
        <v>503</v>
      </c>
      <c r="M3" s="27">
        <v>38985</v>
      </c>
      <c r="N3" s="12">
        <v>0.5555555555555556</v>
      </c>
      <c r="O3" s="3" t="s">
        <v>520</v>
      </c>
      <c r="P3" s="3" t="s">
        <v>477</v>
      </c>
      <c r="Q3" s="3" t="s">
        <v>477</v>
      </c>
      <c r="R3" s="3" t="s">
        <v>477</v>
      </c>
      <c r="S3" s="39">
        <v>9</v>
      </c>
      <c r="T3" s="2" t="s">
        <v>521</v>
      </c>
      <c r="U3" s="33" t="s">
        <v>477</v>
      </c>
      <c r="V3" s="2" t="s">
        <v>124</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78.75">
      <c r="A4" s="30">
        <v>14</v>
      </c>
      <c r="B4" s="1" t="s">
        <v>400</v>
      </c>
      <c r="C4" s="2" t="s">
        <v>430</v>
      </c>
      <c r="D4" s="2" t="s">
        <v>431</v>
      </c>
      <c r="E4" s="14" t="s">
        <v>511</v>
      </c>
      <c r="F4" s="14" t="s">
        <v>512</v>
      </c>
      <c r="G4" s="1" t="s">
        <v>513</v>
      </c>
      <c r="H4" s="16">
        <v>510</v>
      </c>
      <c r="I4" s="16">
        <v>408</v>
      </c>
      <c r="J4" s="35" t="s">
        <v>515</v>
      </c>
      <c r="K4" s="21">
        <v>38988</v>
      </c>
      <c r="L4" s="2" t="s">
        <v>503</v>
      </c>
      <c r="M4" s="26">
        <v>38985</v>
      </c>
      <c r="N4" s="11"/>
      <c r="O4" s="2" t="s">
        <v>504</v>
      </c>
      <c r="P4" s="2" t="s">
        <v>477</v>
      </c>
      <c r="Q4" s="2" t="s">
        <v>477</v>
      </c>
      <c r="R4" s="2" t="s">
        <v>477</v>
      </c>
      <c r="S4" s="32">
        <v>2</v>
      </c>
      <c r="T4" s="2" t="s">
        <v>126</v>
      </c>
      <c r="U4" s="1" t="s">
        <v>477</v>
      </c>
      <c r="V4" s="2" t="s">
        <v>127</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45">
      <c r="A5" s="8">
        <v>20</v>
      </c>
      <c r="B5" s="33" t="s">
        <v>480</v>
      </c>
      <c r="C5" s="2" t="s">
        <v>491</v>
      </c>
      <c r="D5" s="2" t="s">
        <v>492</v>
      </c>
      <c r="E5" s="9" t="s">
        <v>493</v>
      </c>
      <c r="F5" s="9" t="s">
        <v>494</v>
      </c>
      <c r="G5" s="33" t="s">
        <v>495</v>
      </c>
      <c r="H5" s="17">
        <v>879.49</v>
      </c>
      <c r="I5" s="17">
        <v>703.59</v>
      </c>
      <c r="J5" s="36" t="s">
        <v>496</v>
      </c>
      <c r="K5" s="22">
        <v>38988</v>
      </c>
      <c r="L5" s="2" t="s">
        <v>497</v>
      </c>
      <c r="M5" s="27">
        <v>38985</v>
      </c>
      <c r="N5" s="12">
        <v>0.6625</v>
      </c>
      <c r="O5" s="3" t="s">
        <v>498</v>
      </c>
      <c r="P5" s="3" t="s">
        <v>477</v>
      </c>
      <c r="Q5" s="3" t="s">
        <v>477</v>
      </c>
      <c r="R5" s="3" t="s">
        <v>477</v>
      </c>
      <c r="S5" s="39">
        <v>3</v>
      </c>
      <c r="T5" s="2" t="s">
        <v>499</v>
      </c>
      <c r="U5" s="33" t="s">
        <v>477</v>
      </c>
      <c r="V5" s="2" t="s">
        <v>130</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56.25">
      <c r="A6" s="8">
        <v>28</v>
      </c>
      <c r="B6" s="33" t="s">
        <v>480</v>
      </c>
      <c r="C6" s="2" t="s">
        <v>459</v>
      </c>
      <c r="D6" s="2" t="s">
        <v>460</v>
      </c>
      <c r="E6" s="9" t="s">
        <v>676</v>
      </c>
      <c r="F6" s="9" t="s">
        <v>677</v>
      </c>
      <c r="G6" s="33" t="s">
        <v>678</v>
      </c>
      <c r="H6" s="17">
        <v>937</v>
      </c>
      <c r="I6" s="17">
        <v>750</v>
      </c>
      <c r="J6" s="36" t="s">
        <v>679</v>
      </c>
      <c r="K6" s="22">
        <v>38992</v>
      </c>
      <c r="L6" s="3" t="s">
        <v>475</v>
      </c>
      <c r="M6" s="27">
        <v>38985</v>
      </c>
      <c r="N6" s="12">
        <v>0.7458333333333332</v>
      </c>
      <c r="O6" s="3" t="s">
        <v>476</v>
      </c>
      <c r="P6" s="3" t="s">
        <v>477</v>
      </c>
      <c r="Q6" s="3" t="s">
        <v>477</v>
      </c>
      <c r="R6" s="3" t="s">
        <v>477</v>
      </c>
      <c r="S6" s="39">
        <v>3</v>
      </c>
      <c r="T6" s="2" t="s">
        <v>680</v>
      </c>
      <c r="U6" s="33" t="s">
        <v>477</v>
      </c>
      <c r="V6" s="2" t="s">
        <v>327</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23.75">
      <c r="A7" s="8">
        <v>32</v>
      </c>
      <c r="B7" s="33" t="s">
        <v>468</v>
      </c>
      <c r="C7" s="2" t="s">
        <v>462</v>
      </c>
      <c r="D7" s="2" t="s">
        <v>463</v>
      </c>
      <c r="E7" s="9" t="s">
        <v>469</v>
      </c>
      <c r="F7" s="9" t="s">
        <v>470</v>
      </c>
      <c r="G7" s="33" t="s">
        <v>471</v>
      </c>
      <c r="H7" s="17">
        <v>937.5</v>
      </c>
      <c r="I7" s="17">
        <v>750</v>
      </c>
      <c r="J7" s="37" t="s">
        <v>474</v>
      </c>
      <c r="K7" s="22">
        <v>38992</v>
      </c>
      <c r="L7" s="3" t="s">
        <v>475</v>
      </c>
      <c r="M7" s="27">
        <v>38985</v>
      </c>
      <c r="N7" s="12">
        <v>0.5277777777777778</v>
      </c>
      <c r="O7" s="3" t="s">
        <v>476</v>
      </c>
      <c r="P7" s="3" t="s">
        <v>477</v>
      </c>
      <c r="Q7" s="3" t="s">
        <v>477</v>
      </c>
      <c r="R7" s="3" t="s">
        <v>477</v>
      </c>
      <c r="S7" s="39">
        <v>8</v>
      </c>
      <c r="T7" s="2" t="s">
        <v>478</v>
      </c>
      <c r="U7" s="33" t="s">
        <v>477</v>
      </c>
      <c r="V7" s="2" t="s">
        <v>332</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90">
      <c r="A8" s="30">
        <v>33</v>
      </c>
      <c r="B8" s="1" t="s">
        <v>468</v>
      </c>
      <c r="C8" s="2" t="s">
        <v>556</v>
      </c>
      <c r="D8" s="2" t="s">
        <v>352</v>
      </c>
      <c r="E8" s="14" t="s">
        <v>557</v>
      </c>
      <c r="F8" s="14" t="s">
        <v>558</v>
      </c>
      <c r="G8" s="1" t="s">
        <v>559</v>
      </c>
      <c r="H8" s="16">
        <v>950</v>
      </c>
      <c r="I8" s="16">
        <v>750</v>
      </c>
      <c r="J8" s="35" t="s">
        <v>560</v>
      </c>
      <c r="K8" s="21">
        <v>38992</v>
      </c>
      <c r="L8" s="2" t="s">
        <v>475</v>
      </c>
      <c r="M8" s="26">
        <v>38985</v>
      </c>
      <c r="N8" s="11">
        <v>0.686111111111111</v>
      </c>
      <c r="O8" s="2" t="s">
        <v>476</v>
      </c>
      <c r="P8" s="2" t="s">
        <v>477</v>
      </c>
      <c r="Q8" s="2" t="s">
        <v>477</v>
      </c>
      <c r="R8" s="2" t="s">
        <v>477</v>
      </c>
      <c r="S8" s="32">
        <v>8</v>
      </c>
      <c r="T8" s="2" t="s">
        <v>561</v>
      </c>
      <c r="U8" s="1" t="s">
        <v>477</v>
      </c>
      <c r="V8" s="2" t="s">
        <v>332</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68.75">
      <c r="A9" s="30">
        <v>35</v>
      </c>
      <c r="B9" s="1" t="s">
        <v>468</v>
      </c>
      <c r="C9" s="2" t="s">
        <v>562</v>
      </c>
      <c r="D9" s="2" t="s">
        <v>563</v>
      </c>
      <c r="E9" s="14" t="s">
        <v>564</v>
      </c>
      <c r="F9" s="14" t="s">
        <v>565</v>
      </c>
      <c r="G9" s="1" t="s">
        <v>566</v>
      </c>
      <c r="H9" s="16">
        <v>937.5</v>
      </c>
      <c r="I9" s="16">
        <v>750</v>
      </c>
      <c r="J9" s="35" t="s">
        <v>567</v>
      </c>
      <c r="K9" s="21">
        <v>38992</v>
      </c>
      <c r="L9" s="2" t="s">
        <v>475</v>
      </c>
      <c r="M9" s="26">
        <v>38985</v>
      </c>
      <c r="N9" s="11">
        <v>0.6784722222222223</v>
      </c>
      <c r="O9" s="2" t="s">
        <v>476</v>
      </c>
      <c r="P9" s="2" t="s">
        <v>477</v>
      </c>
      <c r="Q9" s="2" t="s">
        <v>477</v>
      </c>
      <c r="R9" s="2" t="s">
        <v>477</v>
      </c>
      <c r="S9" s="32">
        <v>12</v>
      </c>
      <c r="T9" s="2" t="s">
        <v>572</v>
      </c>
      <c r="U9" s="1" t="s">
        <v>477</v>
      </c>
      <c r="V9" s="2" t="s">
        <v>332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ht="67.5">
      <c r="A10" s="30">
        <v>7</v>
      </c>
      <c r="B10" s="1" t="s">
        <v>480</v>
      </c>
      <c r="C10" s="2" t="s">
        <v>426</v>
      </c>
      <c r="D10" s="2" t="s">
        <v>427</v>
      </c>
      <c r="E10" s="9" t="s">
        <v>590</v>
      </c>
      <c r="F10" s="9" t="s">
        <v>591</v>
      </c>
      <c r="G10" s="33" t="s">
        <v>592</v>
      </c>
      <c r="H10" s="17">
        <v>937.5</v>
      </c>
      <c r="I10" s="17">
        <v>750</v>
      </c>
      <c r="J10" s="36" t="s">
        <v>593</v>
      </c>
      <c r="K10" s="22">
        <v>38988</v>
      </c>
      <c r="L10" s="3" t="s">
        <v>475</v>
      </c>
      <c r="M10" s="27">
        <v>38985</v>
      </c>
      <c r="N10" s="12">
        <v>0.46458333333333335</v>
      </c>
      <c r="O10" s="3" t="s">
        <v>476</v>
      </c>
      <c r="P10" s="3" t="s">
        <v>477</v>
      </c>
      <c r="Q10" s="3" t="s">
        <v>477</v>
      </c>
      <c r="R10" s="3" t="s">
        <v>477</v>
      </c>
      <c r="S10" s="39">
        <v>5</v>
      </c>
      <c r="T10" s="2" t="s">
        <v>594</v>
      </c>
      <c r="U10" s="1" t="s">
        <v>477</v>
      </c>
      <c r="V10" s="2" t="s">
        <v>332</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row>
    <row r="11" spans="1:245" ht="112.5">
      <c r="A11" s="8">
        <v>19</v>
      </c>
      <c r="B11" s="33" t="s">
        <v>468</v>
      </c>
      <c r="C11" s="2" t="s">
        <v>452</v>
      </c>
      <c r="D11" s="2" t="s">
        <v>453</v>
      </c>
      <c r="E11" s="9" t="s">
        <v>582</v>
      </c>
      <c r="F11" s="9" t="s">
        <v>583</v>
      </c>
      <c r="G11" s="33" t="s">
        <v>584</v>
      </c>
      <c r="H11" s="17">
        <v>891.075</v>
      </c>
      <c r="I11" s="17">
        <v>712.86</v>
      </c>
      <c r="J11" s="36" t="s">
        <v>585</v>
      </c>
      <c r="K11" s="22">
        <v>38988</v>
      </c>
      <c r="L11" s="3" t="s">
        <v>475</v>
      </c>
      <c r="M11" s="27">
        <v>38985</v>
      </c>
      <c r="N11" s="12">
        <v>0.611111111111111</v>
      </c>
      <c r="O11" s="3" t="s">
        <v>476</v>
      </c>
      <c r="P11" s="3" t="s">
        <v>477</v>
      </c>
      <c r="Q11" s="3" t="s">
        <v>477</v>
      </c>
      <c r="R11" s="3" t="s">
        <v>477</v>
      </c>
      <c r="S11" s="39">
        <v>9</v>
      </c>
      <c r="T11" s="2" t="s">
        <v>586</v>
      </c>
      <c r="U11" s="1" t="s">
        <v>477</v>
      </c>
      <c r="V11" s="2" t="s">
        <v>332</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row>
    <row r="12" spans="1:245" ht="67.5">
      <c r="A12" s="8">
        <v>21</v>
      </c>
      <c r="B12" s="33" t="s">
        <v>480</v>
      </c>
      <c r="C12" s="2" t="s">
        <v>454</v>
      </c>
      <c r="D12" s="2" t="s">
        <v>352</v>
      </c>
      <c r="E12" s="14" t="s">
        <v>604</v>
      </c>
      <c r="F12" s="9" t="s">
        <v>605</v>
      </c>
      <c r="G12" s="33" t="s">
        <v>606</v>
      </c>
      <c r="H12" s="17">
        <v>937.5</v>
      </c>
      <c r="I12" s="17">
        <v>750</v>
      </c>
      <c r="J12" s="36" t="s">
        <v>607</v>
      </c>
      <c r="K12" s="22">
        <v>38988</v>
      </c>
      <c r="L12" s="3" t="s">
        <v>475</v>
      </c>
      <c r="M12" s="27">
        <v>38985</v>
      </c>
      <c r="N12" s="12">
        <v>0.6583333333333333</v>
      </c>
      <c r="O12" s="3" t="s">
        <v>476</v>
      </c>
      <c r="P12" s="3" t="s">
        <v>477</v>
      </c>
      <c r="Q12" s="3" t="s">
        <v>477</v>
      </c>
      <c r="R12" s="3" t="s">
        <v>477</v>
      </c>
      <c r="S12" s="39">
        <v>6</v>
      </c>
      <c r="T12" s="2" t="s">
        <v>608</v>
      </c>
      <c r="U12" s="1" t="s">
        <v>477</v>
      </c>
      <c r="V12" s="2" t="s">
        <v>158</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row>
    <row r="13" spans="1:245" ht="56.25">
      <c r="A13" s="30">
        <v>26</v>
      </c>
      <c r="B13" s="1" t="s">
        <v>468</v>
      </c>
      <c r="C13" s="2" t="s">
        <v>356</v>
      </c>
      <c r="D13" s="2" t="s">
        <v>352</v>
      </c>
      <c r="E13" s="14" t="s">
        <v>609</v>
      </c>
      <c r="F13" s="14" t="s">
        <v>610</v>
      </c>
      <c r="G13" s="1" t="s">
        <v>611</v>
      </c>
      <c r="H13" s="16">
        <v>937.5</v>
      </c>
      <c r="I13" s="16">
        <v>750</v>
      </c>
      <c r="J13" s="35" t="s">
        <v>612</v>
      </c>
      <c r="K13" s="21">
        <v>38992</v>
      </c>
      <c r="L13" s="2" t="s">
        <v>613</v>
      </c>
      <c r="M13" s="26">
        <v>38985</v>
      </c>
      <c r="N13" s="11">
        <v>0.7493055555555556</v>
      </c>
      <c r="O13" s="2" t="s">
        <v>476</v>
      </c>
      <c r="P13" s="2" t="s">
        <v>477</v>
      </c>
      <c r="Q13" s="2" t="s">
        <v>477</v>
      </c>
      <c r="R13" s="2" t="s">
        <v>477</v>
      </c>
      <c r="S13" s="32">
        <v>4</v>
      </c>
      <c r="T13" s="2" t="s">
        <v>614</v>
      </c>
      <c r="U13" s="1" t="s">
        <v>477</v>
      </c>
      <c r="V13" s="2" t="s">
        <v>332</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row>
    <row r="14" spans="1:245" ht="157.5">
      <c r="A14" s="30">
        <v>1</v>
      </c>
      <c r="B14" s="1" t="s">
        <v>468</v>
      </c>
      <c r="C14" s="2" t="s">
        <v>631</v>
      </c>
      <c r="D14" s="2" t="s">
        <v>357</v>
      </c>
      <c r="E14" s="14" t="s">
        <v>632</v>
      </c>
      <c r="F14" s="14" t="s">
        <v>632</v>
      </c>
      <c r="G14" s="1" t="s">
        <v>633</v>
      </c>
      <c r="H14" s="16">
        <v>870</v>
      </c>
      <c r="I14" s="16">
        <v>725</v>
      </c>
      <c r="J14" s="35" t="s">
        <v>634</v>
      </c>
      <c r="K14" s="21">
        <v>38988</v>
      </c>
      <c r="L14" s="2" t="s">
        <v>475</v>
      </c>
      <c r="M14" s="26">
        <v>38985</v>
      </c>
      <c r="N14" s="11">
        <v>0.5638888888888889</v>
      </c>
      <c r="O14" s="2" t="s">
        <v>476</v>
      </c>
      <c r="P14" s="2" t="s">
        <v>477</v>
      </c>
      <c r="Q14" s="2" t="s">
        <v>477</v>
      </c>
      <c r="R14" s="2" t="s">
        <v>477</v>
      </c>
      <c r="S14" s="32">
        <v>12</v>
      </c>
      <c r="T14" s="2" t="s">
        <v>649</v>
      </c>
      <c r="U14" s="1" t="s">
        <v>477</v>
      </c>
      <c r="V14" s="2" t="s">
        <v>332</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row>
    <row r="15" spans="1:245" ht="56.25">
      <c r="A15" s="30">
        <v>4</v>
      </c>
      <c r="B15" s="1" t="s">
        <v>468</v>
      </c>
      <c r="C15" s="2" t="s">
        <v>390</v>
      </c>
      <c r="D15" s="2" t="s">
        <v>391</v>
      </c>
      <c r="E15" s="9" t="s">
        <v>615</v>
      </c>
      <c r="F15" s="9" t="s">
        <v>616</v>
      </c>
      <c r="G15" s="1" t="s">
        <v>617</v>
      </c>
      <c r="H15" s="16">
        <v>671.8</v>
      </c>
      <c r="I15" s="16">
        <v>537.44</v>
      </c>
      <c r="J15" s="35" t="s">
        <v>618</v>
      </c>
      <c r="K15" s="21">
        <v>38993</v>
      </c>
      <c r="L15" s="2" t="s">
        <v>475</v>
      </c>
      <c r="M15" s="26">
        <v>38985</v>
      </c>
      <c r="N15" s="11"/>
      <c r="O15" s="2" t="s">
        <v>408</v>
      </c>
      <c r="P15" s="2" t="s">
        <v>477</v>
      </c>
      <c r="Q15" s="2" t="s">
        <v>477</v>
      </c>
      <c r="R15" s="2" t="s">
        <v>477</v>
      </c>
      <c r="S15" s="32">
        <v>3</v>
      </c>
      <c r="T15" s="2" t="s">
        <v>619</v>
      </c>
      <c r="U15" s="1" t="s">
        <v>477</v>
      </c>
      <c r="V15" s="2" t="s">
        <v>332</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245" ht="101.25">
      <c r="A16" s="30">
        <v>15</v>
      </c>
      <c r="B16" s="33" t="s">
        <v>480</v>
      </c>
      <c r="C16" s="2" t="s">
        <v>450</v>
      </c>
      <c r="D16" s="2" t="s">
        <v>387</v>
      </c>
      <c r="E16" s="9" t="s">
        <v>627</v>
      </c>
      <c r="F16" s="9" t="s">
        <v>628</v>
      </c>
      <c r="G16" s="33" t="s">
        <v>629</v>
      </c>
      <c r="H16" s="17">
        <v>761.875</v>
      </c>
      <c r="I16" s="17">
        <v>609.5</v>
      </c>
      <c r="J16" s="36" t="s">
        <v>630</v>
      </c>
      <c r="K16" s="22">
        <v>38988</v>
      </c>
      <c r="L16" s="3" t="s">
        <v>475</v>
      </c>
      <c r="M16" s="27">
        <v>38985</v>
      </c>
      <c r="N16" s="12">
        <v>0.5368055555555555</v>
      </c>
      <c r="O16" s="3" t="s">
        <v>504</v>
      </c>
      <c r="P16" s="3" t="s">
        <v>477</v>
      </c>
      <c r="Q16" s="3" t="s">
        <v>477</v>
      </c>
      <c r="R16" s="3" t="s">
        <v>477</v>
      </c>
      <c r="S16" s="39">
        <v>7</v>
      </c>
      <c r="T16" s="2" t="s">
        <v>128</v>
      </c>
      <c r="U16" s="1" t="s">
        <v>477</v>
      </c>
      <c r="V16" s="2" t="s">
        <v>159</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row>
    <row r="17" spans="1:245" ht="146.25">
      <c r="A17" s="30">
        <v>31</v>
      </c>
      <c r="B17" s="1" t="s">
        <v>468</v>
      </c>
      <c r="C17" s="2" t="s">
        <v>360</v>
      </c>
      <c r="D17" s="2" t="s">
        <v>385</v>
      </c>
      <c r="E17" s="9" t="s">
        <v>577</v>
      </c>
      <c r="F17" s="14" t="s">
        <v>578</v>
      </c>
      <c r="G17" s="1" t="s">
        <v>579</v>
      </c>
      <c r="H17" s="16">
        <v>935</v>
      </c>
      <c r="I17" s="16">
        <v>748</v>
      </c>
      <c r="J17" s="35" t="s">
        <v>580</v>
      </c>
      <c r="K17" s="21">
        <v>38992</v>
      </c>
      <c r="L17" s="2" t="s">
        <v>475</v>
      </c>
      <c r="M17" s="26">
        <v>38985</v>
      </c>
      <c r="N17" s="11">
        <v>0.6034722222222222</v>
      </c>
      <c r="O17" s="2" t="s">
        <v>504</v>
      </c>
      <c r="P17" s="2" t="s">
        <v>477</v>
      </c>
      <c r="Q17" s="2" t="s">
        <v>477</v>
      </c>
      <c r="R17" s="2" t="s">
        <v>477</v>
      </c>
      <c r="S17" s="32">
        <v>10</v>
      </c>
      <c r="T17" s="2" t="s">
        <v>581</v>
      </c>
      <c r="U17" s="1" t="s">
        <v>477</v>
      </c>
      <c r="V17" s="2" t="s">
        <v>169</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row>
  </sheetData>
  <sheetProtection/>
  <printOptions gridLines="1" horizontalCentered="1"/>
  <pageMargins left="0.15748031496062992" right="0.1968503937007874" top="0.2755905511811024" bottom="0.2362204724409449" header="0.15748031496062992" footer="0.1574803149606299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92D050"/>
  </sheetPr>
  <dimension ref="A3:N56"/>
  <sheetViews>
    <sheetView zoomScalePageLayoutView="0" workbookViewId="0" topLeftCell="A19">
      <selection activeCell="C47" sqref="C47"/>
    </sheetView>
  </sheetViews>
  <sheetFormatPr defaultColWidth="9.140625" defaultRowHeight="12.75"/>
  <cols>
    <col min="2" max="2" width="25.140625" style="0" bestFit="1" customWidth="1"/>
    <col min="3" max="3" width="11.7109375" style="0" bestFit="1" customWidth="1"/>
    <col min="4" max="4" width="14.421875" style="0" bestFit="1" customWidth="1"/>
    <col min="5" max="5" width="17.8515625" style="0" bestFit="1" customWidth="1"/>
    <col min="6" max="6" width="19.140625" style="0" bestFit="1" customWidth="1"/>
    <col min="7" max="7" width="24.8515625" style="0" customWidth="1"/>
    <col min="8" max="8" width="18.421875" style="0" bestFit="1" customWidth="1"/>
    <col min="9" max="9" width="15.28125" style="0" bestFit="1" customWidth="1"/>
    <col min="10" max="10" width="15.140625" style="0" customWidth="1"/>
    <col min="11" max="11" width="27.00390625" style="0" bestFit="1" customWidth="1"/>
    <col min="12" max="12" width="13.57421875" style="0" bestFit="1" customWidth="1"/>
    <col min="13" max="13" width="13.57421875" style="0" customWidth="1"/>
    <col min="14" max="14" width="14.8515625" style="0" bestFit="1" customWidth="1"/>
  </cols>
  <sheetData>
    <row r="2" ht="13.5" thickBot="1"/>
    <row r="3" spans="2:12" ht="21" customHeight="1" thickBot="1">
      <c r="B3" s="351" t="s">
        <v>471</v>
      </c>
      <c r="C3" s="352"/>
      <c r="D3" s="146">
        <v>749473</v>
      </c>
      <c r="E3" s="154"/>
      <c r="L3" s="222"/>
    </row>
    <row r="4" spans="2:12" ht="12.75" customHeight="1">
      <c r="B4" s="138" t="s">
        <v>71</v>
      </c>
      <c r="C4" s="159">
        <v>599578.4</v>
      </c>
      <c r="D4" s="147"/>
      <c r="L4" s="222"/>
    </row>
    <row r="5" spans="2:4" ht="12.75">
      <c r="B5" s="132" t="s">
        <v>72</v>
      </c>
      <c r="C5" s="154">
        <f>5*C4/100</f>
        <v>29978.92</v>
      </c>
      <c r="D5" s="132"/>
    </row>
    <row r="6" spans="2:4" ht="12.75">
      <c r="B6" s="132" t="s">
        <v>75</v>
      </c>
      <c r="C6" s="154">
        <f>95*C4/100</f>
        <v>569599.48</v>
      </c>
      <c r="D6" s="132"/>
    </row>
    <row r="7" spans="2:4" ht="13.5" thickBot="1">
      <c r="B7" s="132" t="s">
        <v>74</v>
      </c>
      <c r="C7" s="154">
        <f>30*C4/100</f>
        <v>179873.52</v>
      </c>
      <c r="D7" s="143"/>
    </row>
    <row r="8" spans="2:13" ht="13.5" thickBot="1">
      <c r="B8" s="132" t="s">
        <v>73</v>
      </c>
      <c r="C8" s="139">
        <f>65*C4/100</f>
        <v>389725.96</v>
      </c>
      <c r="D8" s="353" t="s">
        <v>154</v>
      </c>
      <c r="E8" s="151" t="s">
        <v>143</v>
      </c>
      <c r="F8" s="355" t="s">
        <v>683</v>
      </c>
      <c r="G8" s="356"/>
      <c r="H8" s="357" t="s">
        <v>147</v>
      </c>
      <c r="I8" s="358"/>
      <c r="J8" s="359"/>
      <c r="K8" s="167" t="s">
        <v>148</v>
      </c>
      <c r="L8" s="168" t="s">
        <v>149</v>
      </c>
      <c r="M8" s="168" t="s">
        <v>105</v>
      </c>
    </row>
    <row r="9" spans="2:14" ht="13.5" thickBot="1">
      <c r="B9" s="134" t="s">
        <v>77</v>
      </c>
      <c r="C9" s="139">
        <f>C10+C11+C12+C13</f>
        <v>388009.4696</v>
      </c>
      <c r="D9" s="354"/>
      <c r="E9" s="157">
        <f>SUM(E10:E13)</f>
        <v>747214.46</v>
      </c>
      <c r="F9" s="153" t="s">
        <v>141</v>
      </c>
      <c r="G9" s="148" t="s">
        <v>142</v>
      </c>
      <c r="H9" s="149" t="s">
        <v>144</v>
      </c>
      <c r="I9" s="150" t="s">
        <v>145</v>
      </c>
      <c r="J9" s="150" t="s">
        <v>147</v>
      </c>
      <c r="K9" s="183" t="s">
        <v>150</v>
      </c>
      <c r="L9" s="360" t="s">
        <v>106</v>
      </c>
      <c r="M9" s="361"/>
      <c r="N9" s="150" t="s">
        <v>146</v>
      </c>
    </row>
    <row r="10" spans="2:14" ht="12.75">
      <c r="B10" s="134" t="s">
        <v>76</v>
      </c>
      <c r="C10" s="154">
        <f>E10*80/100</f>
        <v>131698.368</v>
      </c>
      <c r="D10" s="156" t="s">
        <v>151</v>
      </c>
      <c r="E10" s="158">
        <f>SUM(F10:N10)</f>
        <v>164622.96</v>
      </c>
      <c r="F10" s="152">
        <v>133481.02</v>
      </c>
      <c r="G10" s="152">
        <v>23940</v>
      </c>
      <c r="H10" s="152"/>
      <c r="I10" s="152">
        <v>2181.64</v>
      </c>
      <c r="J10" s="152">
        <v>5020.3</v>
      </c>
      <c r="K10" s="362"/>
      <c r="L10" s="363"/>
      <c r="M10" s="364"/>
      <c r="N10" s="152"/>
    </row>
    <row r="11" spans="2:14" ht="12.75">
      <c r="B11" s="134" t="s">
        <v>78</v>
      </c>
      <c r="C11" s="199">
        <f>E11*80/100</f>
        <v>119872.57599999997</v>
      </c>
      <c r="D11" s="185" t="s">
        <v>153</v>
      </c>
      <c r="E11" s="186">
        <f>SUM(F11:N11)</f>
        <v>149840.71999999997</v>
      </c>
      <c r="F11" s="187">
        <v>49948.62</v>
      </c>
      <c r="G11" s="187">
        <f>68337.06+11220</f>
        <v>79557.06</v>
      </c>
      <c r="H11" s="187">
        <v>2633.46</v>
      </c>
      <c r="I11" s="187">
        <v>376.8</v>
      </c>
      <c r="J11" s="187">
        <v>3708.38</v>
      </c>
      <c r="K11" s="348">
        <f>8173.2+5443.2</f>
        <v>13616.4</v>
      </c>
      <c r="L11" s="349"/>
      <c r="M11" s="350"/>
      <c r="N11" s="187"/>
    </row>
    <row r="12" spans="2:14" ht="12.75">
      <c r="B12" s="134" t="s">
        <v>79</v>
      </c>
      <c r="C12" s="309">
        <v>103809.72680000018</v>
      </c>
      <c r="D12" s="155" t="s">
        <v>372</v>
      </c>
      <c r="E12" s="186">
        <f>SUM(F12:N12)</f>
        <v>389818.15</v>
      </c>
      <c r="F12" s="152">
        <v>64559.4</v>
      </c>
      <c r="G12" s="152">
        <v>27269.16</v>
      </c>
      <c r="H12" s="152">
        <v>59.58</v>
      </c>
      <c r="I12" s="152">
        <v>1729.19</v>
      </c>
      <c r="J12" s="152">
        <f>21762.83-2258.09</f>
        <v>19504.74</v>
      </c>
      <c r="K12" s="365">
        <v>276696.08</v>
      </c>
      <c r="L12" s="366"/>
      <c r="M12" s="367"/>
      <c r="N12" s="152"/>
    </row>
    <row r="13" spans="2:14" ht="13.5" thickBot="1">
      <c r="B13" s="136" t="s">
        <v>237</v>
      </c>
      <c r="C13" s="309">
        <v>32628.798799999873</v>
      </c>
      <c r="D13" s="185" t="s">
        <v>189</v>
      </c>
      <c r="E13" s="186">
        <f>SUM(F13:N13)</f>
        <v>42932.630000000005</v>
      </c>
      <c r="F13" s="152">
        <v>10532.759999999998</v>
      </c>
      <c r="G13" s="152">
        <v>12178.78</v>
      </c>
      <c r="H13" s="152"/>
      <c r="I13" s="152"/>
      <c r="J13" s="152">
        <v>0.8200000000000001</v>
      </c>
      <c r="K13" s="152">
        <v>3826.8</v>
      </c>
      <c r="L13" s="152"/>
      <c r="M13" s="152">
        <v>16393.47</v>
      </c>
      <c r="N13" s="152"/>
    </row>
    <row r="14" spans="2:3" ht="12.75">
      <c r="B14" s="145" t="s">
        <v>80</v>
      </c>
      <c r="C14" s="141">
        <f>10*D3/100</f>
        <v>74947.3</v>
      </c>
    </row>
    <row r="15" spans="2:13" ht="12.75">
      <c r="B15" s="134" t="s">
        <v>82</v>
      </c>
      <c r="C15" s="140">
        <f>C16+C17+C18</f>
        <v>75047.68</v>
      </c>
      <c r="E15" s="269"/>
      <c r="F15" s="164"/>
      <c r="G15" s="164"/>
      <c r="H15" s="164"/>
      <c r="I15" s="164"/>
      <c r="J15" s="164"/>
      <c r="K15" s="164"/>
      <c r="L15" s="164"/>
      <c r="M15" s="164"/>
    </row>
    <row r="16" spans="2:13" ht="12.75">
      <c r="B16" s="142" t="s">
        <v>81</v>
      </c>
      <c r="C16" s="133">
        <f>9500+2989.36+14440</f>
        <v>26929.36</v>
      </c>
      <c r="E16" s="176"/>
      <c r="F16" s="164"/>
      <c r="G16" s="164"/>
      <c r="I16" s="164"/>
      <c r="M16" s="164"/>
    </row>
    <row r="17" spans="2:13" ht="12.75">
      <c r="B17" s="142" t="s">
        <v>83</v>
      </c>
      <c r="C17" s="133">
        <f>6680+4100+4625+2880</f>
        <v>18285</v>
      </c>
      <c r="F17" s="164"/>
      <c r="G17" s="268"/>
      <c r="J17" s="164"/>
      <c r="K17" s="164"/>
      <c r="M17" s="268"/>
    </row>
    <row r="18" spans="2:12" ht="12.75">
      <c r="B18" s="142" t="s">
        <v>84</v>
      </c>
      <c r="C18" s="133">
        <f>7480+3400+5185.64+9609.68+4158</f>
        <v>29833.32</v>
      </c>
      <c r="F18" s="268"/>
      <c r="H18" s="268"/>
      <c r="I18" s="268"/>
      <c r="J18" s="268"/>
      <c r="K18" s="268"/>
      <c r="L18" s="268"/>
    </row>
    <row r="19" spans="1:8" ht="12.75">
      <c r="A19" s="135"/>
      <c r="B19" s="132"/>
      <c r="C19" s="133"/>
      <c r="E19" s="164"/>
      <c r="F19" s="164"/>
      <c r="G19" s="164"/>
      <c r="H19" s="164"/>
    </row>
    <row r="20" spans="2:6" ht="13.5" thickBot="1">
      <c r="B20" s="143"/>
      <c r="C20" s="144"/>
      <c r="F20" s="164"/>
    </row>
    <row r="21" spans="2:7" ht="12.75">
      <c r="B21" s="145" t="s">
        <v>273</v>
      </c>
      <c r="C21" s="154">
        <f>5*E9/100</f>
        <v>37360.723</v>
      </c>
      <c r="D21" s="132"/>
      <c r="E21" s="154"/>
      <c r="F21" s="176"/>
      <c r="G21" s="269"/>
    </row>
    <row r="22" spans="2:3" ht="12.75">
      <c r="B22" s="134" t="s">
        <v>274</v>
      </c>
      <c r="C22" s="140">
        <f>C23+C24+C25+C26</f>
        <v>35214.090000000004</v>
      </c>
    </row>
    <row r="23" spans="2:10" ht="12.75">
      <c r="B23" s="142" t="s">
        <v>275</v>
      </c>
      <c r="C23" s="133">
        <f>SUM(H10:J10)</f>
        <v>7201.9400000000005</v>
      </c>
      <c r="H23" s="164"/>
      <c r="J23" s="164"/>
    </row>
    <row r="24" spans="2:3" ht="12.75">
      <c r="B24" s="142" t="s">
        <v>276</v>
      </c>
      <c r="C24" s="133">
        <f>SUM(H11:J11)</f>
        <v>6718.64</v>
      </c>
    </row>
    <row r="25" spans="2:3" ht="13.5" thickBot="1">
      <c r="B25" s="142" t="s">
        <v>277</v>
      </c>
      <c r="C25" s="133">
        <f>SUM(H12:J12)</f>
        <v>21293.510000000002</v>
      </c>
    </row>
    <row r="26" spans="2:10" ht="21">
      <c r="B26" s="132"/>
      <c r="C26" s="133"/>
      <c r="E26" s="224" t="s">
        <v>361</v>
      </c>
      <c r="F26" s="224" t="s">
        <v>374</v>
      </c>
      <c r="G26" s="224" t="s">
        <v>375</v>
      </c>
      <c r="H26" s="224" t="s">
        <v>376</v>
      </c>
      <c r="I26" s="224" t="s">
        <v>377</v>
      </c>
      <c r="J26" s="346" t="s">
        <v>378</v>
      </c>
    </row>
    <row r="27" spans="2:10" ht="13.5" customHeight="1" thickBot="1">
      <c r="B27" s="143"/>
      <c r="C27" s="144"/>
      <c r="E27" s="225"/>
      <c r="F27" s="225"/>
      <c r="G27" s="225"/>
      <c r="H27" s="225"/>
      <c r="I27" s="225"/>
      <c r="J27" s="347"/>
    </row>
    <row r="28" spans="4:10" ht="15.75" thickBot="1">
      <c r="D28" s="231" t="s">
        <v>56</v>
      </c>
      <c r="E28" s="226">
        <v>391973</v>
      </c>
      <c r="F28" s="226">
        <v>280000</v>
      </c>
      <c r="G28" s="226">
        <v>12000</v>
      </c>
      <c r="H28" s="226">
        <v>40000</v>
      </c>
      <c r="I28" s="226">
        <v>25500</v>
      </c>
      <c r="J28" s="226">
        <f>SUM(D28:I28)</f>
        <v>749473</v>
      </c>
    </row>
    <row r="29" spans="4:10" ht="15.75" thickBot="1">
      <c r="D29" s="232" t="s">
        <v>55</v>
      </c>
      <c r="E29" s="234">
        <v>391973</v>
      </c>
      <c r="F29" s="234">
        <v>280000</v>
      </c>
      <c r="G29" s="234">
        <v>12000</v>
      </c>
      <c r="H29" s="234">
        <v>28027</v>
      </c>
      <c r="I29" s="234">
        <v>37473</v>
      </c>
      <c r="J29" s="234">
        <f>SUM(D29:I29)</f>
        <v>749473</v>
      </c>
    </row>
    <row r="30" spans="4:10" ht="15.75" thickBot="1">
      <c r="D30" s="235"/>
      <c r="E30" s="230">
        <f>SUM(E31:E44)</f>
        <v>381879.88</v>
      </c>
      <c r="F30" s="230">
        <f>SUM(F31:F44)</f>
        <v>287036.08</v>
      </c>
      <c r="G30" s="230">
        <f>SUM(G31:G44)</f>
        <v>8173.2</v>
      </c>
      <c r="H30" s="230">
        <f>SUM(H31:H44)</f>
        <v>11323.2</v>
      </c>
      <c r="I30" s="230">
        <f>SUM(I31:I44)</f>
        <v>58802.09999999999</v>
      </c>
      <c r="J30" s="230">
        <f>SUM(J31:J35)</f>
        <v>747214.4600000001</v>
      </c>
    </row>
    <row r="31" spans="5:10" ht="13.5" thickBot="1">
      <c r="E31" s="227">
        <v>76564.3</v>
      </c>
      <c r="F31" s="228"/>
      <c r="G31" s="228"/>
      <c r="H31" s="228"/>
      <c r="I31" s="228">
        <v>6429.87</v>
      </c>
      <c r="J31" s="223">
        <f>SUM(E31:I31)</f>
        <v>82994.17</v>
      </c>
    </row>
    <row r="32" spans="2:10" ht="13.5" thickBot="1">
      <c r="B32" s="277" t="s">
        <v>363</v>
      </c>
      <c r="C32" s="278">
        <f>C4-C37</f>
        <v>36152.93599999999</v>
      </c>
      <c r="D32" s="287">
        <f>D3-D36</f>
        <v>45191.17000000004</v>
      </c>
      <c r="E32" s="227">
        <v>80856.72</v>
      </c>
      <c r="F32" s="228"/>
      <c r="G32" s="228"/>
      <c r="H32" s="228"/>
      <c r="I32" s="228">
        <v>772.07</v>
      </c>
      <c r="J32" s="223">
        <f>SUM(E32:I32)</f>
        <v>81628.79000000001</v>
      </c>
    </row>
    <row r="33" spans="5:10" ht="13.5" thickBot="1">
      <c r="E33" s="227">
        <v>118285.68</v>
      </c>
      <c r="F33" s="228">
        <v>11220</v>
      </c>
      <c r="G33" s="228">
        <v>8173.2</v>
      </c>
      <c r="H33" s="228">
        <v>5443.2</v>
      </c>
      <c r="I33" s="228">
        <v>6718.64</v>
      </c>
      <c r="J33" s="223">
        <f>SUM(E33:I33)</f>
        <v>149840.72000000003</v>
      </c>
    </row>
    <row r="34" spans="5:10" ht="13.5" thickBot="1">
      <c r="E34" s="227">
        <v>91828.56</v>
      </c>
      <c r="F34" s="228">
        <v>270816.08</v>
      </c>
      <c r="G34" s="228"/>
      <c r="H34" s="228">
        <v>5880</v>
      </c>
      <c r="I34" s="228">
        <f>23551.6-2258.09</f>
        <v>21293.51</v>
      </c>
      <c r="J34" s="223">
        <f>SUM(E34:I34)</f>
        <v>389818.15</v>
      </c>
    </row>
    <row r="35" spans="4:10" ht="15.75" thickBot="1">
      <c r="D35" s="231" t="s">
        <v>706</v>
      </c>
      <c r="E35" s="306">
        <v>14344.62</v>
      </c>
      <c r="F35" s="307">
        <v>5000</v>
      </c>
      <c r="G35" s="307"/>
      <c r="H35" s="307"/>
      <c r="I35" s="307">
        <v>23588.01</v>
      </c>
      <c r="J35" s="308">
        <f>SUM(E35:I35)</f>
        <v>42932.630000000005</v>
      </c>
    </row>
    <row r="36" spans="2:4" ht="12.75">
      <c r="B36" s="263"/>
      <c r="C36" s="256"/>
      <c r="D36" s="262">
        <v>704281.83</v>
      </c>
    </row>
    <row r="37" spans="2:4" ht="12.75">
      <c r="B37" s="264" t="s">
        <v>71</v>
      </c>
      <c r="C37" s="154">
        <f>D36*80/100</f>
        <v>563425.464</v>
      </c>
      <c r="D37" s="258"/>
    </row>
    <row r="38" spans="2:4" ht="12.75">
      <c r="B38" s="265" t="s">
        <v>72</v>
      </c>
      <c r="C38" s="257">
        <f>5*C37/100</f>
        <v>28171.273200000003</v>
      </c>
      <c r="D38" s="259"/>
    </row>
    <row r="39" spans="2:4" ht="12.75">
      <c r="B39" s="265" t="s">
        <v>75</v>
      </c>
      <c r="C39" s="257">
        <f>95*C37/100</f>
        <v>535254.1908000001</v>
      </c>
      <c r="D39" s="259"/>
    </row>
    <row r="40" spans="2:4" ht="12.75">
      <c r="B40" s="265" t="s">
        <v>74</v>
      </c>
      <c r="C40" s="257">
        <v>179873.52</v>
      </c>
      <c r="D40" s="258">
        <f>SUM(C40:C42)</f>
        <v>431444.4639999999</v>
      </c>
    </row>
    <row r="41" spans="2:4" ht="12.75">
      <c r="B41" s="266" t="s">
        <v>76</v>
      </c>
      <c r="C41" s="257">
        <v>131698.368</v>
      </c>
      <c r="D41" s="258"/>
    </row>
    <row r="42" spans="2:4" ht="12.75">
      <c r="B42" s="266" t="s">
        <v>78</v>
      </c>
      <c r="C42" s="257">
        <v>119872.57599999997</v>
      </c>
      <c r="D42" s="258"/>
    </row>
    <row r="43" spans="2:4" ht="13.5" thickBot="1">
      <c r="B43" s="267" t="s">
        <v>40</v>
      </c>
      <c r="C43" s="260">
        <f>C39-D40</f>
        <v>103809.72680000018</v>
      </c>
      <c r="D43" s="261">
        <f>SUM(C40:C43)</f>
        <v>535254.1908000001</v>
      </c>
    </row>
    <row r="45" ht="13.5" thickBot="1"/>
    <row r="46" spans="2:4" ht="12.75">
      <c r="B46" s="263"/>
      <c r="C46" s="256"/>
      <c r="D46" s="262">
        <v>747214.46</v>
      </c>
    </row>
    <row r="47" spans="2:4" ht="12.75">
      <c r="B47" s="264" t="s">
        <v>71</v>
      </c>
      <c r="C47" s="154">
        <f>D46*80/100</f>
        <v>597771.568</v>
      </c>
      <c r="D47" s="258"/>
    </row>
    <row r="48" spans="2:4" ht="12.75">
      <c r="B48" s="265" t="s">
        <v>72</v>
      </c>
      <c r="C48" s="257">
        <f>5*C47/100</f>
        <v>29888.5784</v>
      </c>
      <c r="D48" s="259"/>
    </row>
    <row r="49" spans="2:4" ht="12.75">
      <c r="B49" s="265" t="s">
        <v>75</v>
      </c>
      <c r="C49" s="257">
        <f>95*C47/100</f>
        <v>567882.9896</v>
      </c>
      <c r="D49" s="259"/>
    </row>
    <row r="50" spans="2:4" ht="12.75">
      <c r="B50" s="265" t="s">
        <v>74</v>
      </c>
      <c r="C50" s="257">
        <v>179873.52</v>
      </c>
      <c r="D50" s="258">
        <f>SUM(C50:C53)</f>
        <v>535254.1908000001</v>
      </c>
    </row>
    <row r="51" spans="2:4" ht="12.75">
      <c r="B51" s="266" t="s">
        <v>76</v>
      </c>
      <c r="C51" s="257">
        <v>131698.368</v>
      </c>
      <c r="D51" s="258"/>
    </row>
    <row r="52" spans="2:4" ht="12.75">
      <c r="B52" s="266" t="s">
        <v>78</v>
      </c>
      <c r="C52" s="257">
        <v>119872.57599999997</v>
      </c>
      <c r="D52" s="258"/>
    </row>
    <row r="53" spans="2:4" ht="12.75">
      <c r="B53" s="266" t="s">
        <v>79</v>
      </c>
      <c r="C53" s="199">
        <v>103809.72680000018</v>
      </c>
      <c r="D53" s="258"/>
    </row>
    <row r="54" spans="2:4" ht="13.5" thickBot="1">
      <c r="B54" s="267" t="s">
        <v>40</v>
      </c>
      <c r="C54" s="260">
        <f>C49-D50</f>
        <v>32628.798799999873</v>
      </c>
      <c r="D54" s="261">
        <f>SUM(C50:C54)</f>
        <v>567882.9896</v>
      </c>
    </row>
    <row r="55" ht="13.5" thickBot="1"/>
    <row r="56" spans="2:4" ht="13.5" thickBot="1">
      <c r="B56" s="277" t="s">
        <v>363</v>
      </c>
      <c r="C56" s="278">
        <f>C4-C47</f>
        <v>1806.832000000053</v>
      </c>
      <c r="D56" s="287">
        <f>D3-D46</f>
        <v>2258.5400000000373</v>
      </c>
    </row>
  </sheetData>
  <sheetProtection/>
  <mergeCells count="9">
    <mergeCell ref="J26:J27"/>
    <mergeCell ref="K11:M11"/>
    <mergeCell ref="B3:C3"/>
    <mergeCell ref="D8:D9"/>
    <mergeCell ref="F8:G8"/>
    <mergeCell ref="H8:J8"/>
    <mergeCell ref="L9:M9"/>
    <mergeCell ref="K10:M10"/>
    <mergeCell ref="K12:M12"/>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B3:M44"/>
  <sheetViews>
    <sheetView zoomScalePageLayoutView="0" workbookViewId="0" topLeftCell="B4">
      <selection activeCell="B36" sqref="B36:D44"/>
    </sheetView>
  </sheetViews>
  <sheetFormatPr defaultColWidth="9.140625" defaultRowHeight="12.75"/>
  <cols>
    <col min="2" max="2" width="25.140625" style="0" bestFit="1" customWidth="1"/>
    <col min="3" max="4" width="11.7109375" style="0" bestFit="1" customWidth="1"/>
    <col min="5" max="5" width="21.421875" style="0" bestFit="1" customWidth="1"/>
    <col min="6" max="6" width="25.57421875" style="0" bestFit="1" customWidth="1"/>
    <col min="7" max="7" width="22.8515625" style="0" bestFit="1" customWidth="1"/>
    <col min="8" max="8" width="19.28125" style="0" customWidth="1"/>
    <col min="9" max="9" width="17.28125" style="0" customWidth="1"/>
    <col min="10" max="10" width="16.28125" style="0" customWidth="1"/>
    <col min="11" max="11" width="28.00390625" style="0" customWidth="1"/>
    <col min="12" max="12" width="13.57421875" style="0" bestFit="1" customWidth="1"/>
    <col min="13" max="13" width="14.8515625" style="0" bestFit="1" customWidth="1"/>
  </cols>
  <sheetData>
    <row r="2" ht="13.5" thickBot="1"/>
    <row r="3" spans="2:4" ht="13.5" thickBot="1">
      <c r="B3" s="351" t="s">
        <v>559</v>
      </c>
      <c r="C3" s="352"/>
      <c r="D3" s="146">
        <v>784500</v>
      </c>
    </row>
    <row r="4" spans="2:4" ht="12.75">
      <c r="B4" s="138" t="s">
        <v>71</v>
      </c>
      <c r="C4" s="154">
        <v>627600</v>
      </c>
      <c r="D4" s="147"/>
    </row>
    <row r="5" spans="2:4" ht="12.75">
      <c r="B5" s="132" t="s">
        <v>72</v>
      </c>
      <c r="C5" s="154">
        <f>5*C4/100</f>
        <v>31380</v>
      </c>
      <c r="D5" s="132"/>
    </row>
    <row r="6" spans="2:4" ht="12.75">
      <c r="B6" s="132" t="s">
        <v>75</v>
      </c>
      <c r="C6" s="154">
        <f>95*C4/100</f>
        <v>596220</v>
      </c>
      <c r="D6" s="132"/>
    </row>
    <row r="7" spans="2:4" ht="13.5" thickBot="1">
      <c r="B7" s="132" t="s">
        <v>74</v>
      </c>
      <c r="C7" s="154">
        <f>30*C4/100</f>
        <v>188280</v>
      </c>
      <c r="D7" s="143"/>
    </row>
    <row r="8" spans="2:12" ht="13.5" thickBot="1">
      <c r="B8" s="132" t="s">
        <v>73</v>
      </c>
      <c r="C8" s="139">
        <f>65*C4/100</f>
        <v>407940</v>
      </c>
      <c r="D8" s="353" t="s">
        <v>154</v>
      </c>
      <c r="E8" s="151" t="s">
        <v>143</v>
      </c>
      <c r="F8" s="355" t="s">
        <v>684</v>
      </c>
      <c r="G8" s="356"/>
      <c r="H8" s="357" t="s">
        <v>147</v>
      </c>
      <c r="I8" s="368"/>
      <c r="J8" s="369"/>
      <c r="K8" s="167" t="s">
        <v>148</v>
      </c>
      <c r="L8" s="168" t="s">
        <v>149</v>
      </c>
    </row>
    <row r="9" spans="2:13" ht="13.5" thickBot="1">
      <c r="B9" s="134" t="s">
        <v>77</v>
      </c>
      <c r="C9" s="139">
        <f>C10+C11+C12+C13</f>
        <v>407939.9999999999</v>
      </c>
      <c r="D9" s="354"/>
      <c r="E9" s="157">
        <f>SUM(E10:E13)</f>
        <v>785338.5700000001</v>
      </c>
      <c r="F9" s="153" t="s">
        <v>141</v>
      </c>
      <c r="G9" s="148" t="s">
        <v>142</v>
      </c>
      <c r="H9" s="149" t="s">
        <v>144</v>
      </c>
      <c r="I9" s="150" t="s">
        <v>145</v>
      </c>
      <c r="J9" s="150" t="s">
        <v>147</v>
      </c>
      <c r="K9" s="370" t="s">
        <v>150</v>
      </c>
      <c r="L9" s="361"/>
      <c r="M9" s="150" t="s">
        <v>146</v>
      </c>
    </row>
    <row r="10" spans="2:13" ht="12.75">
      <c r="B10" s="134" t="s">
        <v>76</v>
      </c>
      <c r="C10" s="133">
        <f>E10*80/100</f>
        <v>110800.46400000002</v>
      </c>
      <c r="D10" s="156" t="s">
        <v>13</v>
      </c>
      <c r="E10" s="158">
        <f>SUM(F10:M10)</f>
        <v>138500.58000000002</v>
      </c>
      <c r="F10" s="152">
        <v>134164.73</v>
      </c>
      <c r="G10" s="152" t="s">
        <v>155</v>
      </c>
      <c r="H10" s="152"/>
      <c r="I10" s="152" t="s">
        <v>156</v>
      </c>
      <c r="J10" s="152">
        <v>4335.85</v>
      </c>
      <c r="K10" s="362"/>
      <c r="L10" s="364"/>
      <c r="M10" s="152"/>
    </row>
    <row r="11" spans="2:13" ht="12.75">
      <c r="B11" s="134" t="s">
        <v>78</v>
      </c>
      <c r="C11" s="133">
        <f>E11*80/100</f>
        <v>78255.856</v>
      </c>
      <c r="D11" s="155" t="s">
        <v>14</v>
      </c>
      <c r="E11" s="158">
        <f>SUM(F11:M11)</f>
        <v>97819.82</v>
      </c>
      <c r="F11" s="152">
        <v>94196.22</v>
      </c>
      <c r="G11" s="152"/>
      <c r="H11" s="160"/>
      <c r="I11" s="174"/>
      <c r="J11" s="213">
        <v>3623.6</v>
      </c>
      <c r="K11" s="175"/>
      <c r="L11" s="175"/>
      <c r="M11" s="152"/>
    </row>
    <row r="12" spans="2:13" ht="12.75">
      <c r="B12" s="134" t="s">
        <v>79</v>
      </c>
      <c r="C12" s="133">
        <f>E12*80/100</f>
        <v>47745.312000000005</v>
      </c>
      <c r="D12" s="180" t="s">
        <v>236</v>
      </c>
      <c r="E12" s="158">
        <f>SUM(F12:M12)</f>
        <v>59681.64</v>
      </c>
      <c r="F12" s="152">
        <v>42200.93</v>
      </c>
      <c r="G12" s="152">
        <v>12000</v>
      </c>
      <c r="H12" s="152"/>
      <c r="I12" s="152"/>
      <c r="J12" s="213">
        <v>3378.05</v>
      </c>
      <c r="K12" s="212">
        <v>2102.66</v>
      </c>
      <c r="L12" s="152"/>
      <c r="M12" s="152"/>
    </row>
    <row r="13" spans="2:13" ht="13.5" thickBot="1">
      <c r="B13" s="134" t="s">
        <v>237</v>
      </c>
      <c r="C13" s="133">
        <v>171138.3679999999</v>
      </c>
      <c r="D13" s="180" t="s">
        <v>372</v>
      </c>
      <c r="E13" s="158">
        <f>SUM(F13:M13)</f>
        <v>489336.52999999997</v>
      </c>
      <c r="F13" s="152">
        <v>295207.48</v>
      </c>
      <c r="G13" s="152">
        <v>71880</v>
      </c>
      <c r="H13" s="152"/>
      <c r="I13" s="152"/>
      <c r="J13" s="152">
        <f>21861.13-775.17</f>
        <v>21085.960000000003</v>
      </c>
      <c r="K13" s="152">
        <v>71409.3</v>
      </c>
      <c r="L13" s="152"/>
      <c r="M13" s="152">
        <v>29753.79</v>
      </c>
    </row>
    <row r="14" spans="2:13" ht="12.75">
      <c r="B14" s="145" t="s">
        <v>80</v>
      </c>
      <c r="C14" s="141">
        <f>10*D3/100</f>
        <v>78450</v>
      </c>
      <c r="E14" s="160"/>
      <c r="F14" s="211"/>
      <c r="G14" s="211"/>
      <c r="H14" s="160"/>
      <c r="I14" s="160"/>
      <c r="J14" s="211"/>
      <c r="K14" s="211"/>
      <c r="L14" s="160"/>
      <c r="M14" s="211"/>
    </row>
    <row r="15" spans="2:13" ht="12.75">
      <c r="B15" s="134" t="s">
        <v>82</v>
      </c>
      <c r="C15" s="140">
        <f>C16+C17+C18+C19</f>
        <v>79586.72</v>
      </c>
      <c r="E15" s="160"/>
      <c r="F15" s="211"/>
      <c r="G15" s="211"/>
      <c r="H15" s="160"/>
      <c r="I15" s="160"/>
      <c r="J15" s="211"/>
      <c r="K15" s="211"/>
      <c r="L15" s="160"/>
      <c r="M15" s="211"/>
    </row>
    <row r="16" spans="2:13" ht="12.75">
      <c r="B16" s="142" t="s">
        <v>81</v>
      </c>
      <c r="C16" s="133">
        <f>11054.97+6389.37</f>
        <v>17444.34</v>
      </c>
      <c r="E16" s="177" t="s">
        <v>24</v>
      </c>
      <c r="F16" s="178">
        <f>SUM(F10:F15)</f>
        <v>565769.36</v>
      </c>
      <c r="G16" s="178">
        <f>SUM(G10:G15)</f>
        <v>83880</v>
      </c>
      <c r="H16" s="179"/>
      <c r="I16" s="179"/>
      <c r="J16" s="178">
        <f>SUM(J10:J15)</f>
        <v>32423.460000000003</v>
      </c>
      <c r="K16" s="178">
        <f>SUM(K10:K15)</f>
        <v>73511.96</v>
      </c>
      <c r="L16" s="179"/>
      <c r="M16" s="178">
        <f>SUM(M10:M15)</f>
        <v>29753.79</v>
      </c>
    </row>
    <row r="17" spans="2:9" ht="12.75">
      <c r="B17" s="142" t="s">
        <v>83</v>
      </c>
      <c r="C17" s="133">
        <f>3367+4392.22+8790.12</f>
        <v>16549.34</v>
      </c>
      <c r="G17" s="164"/>
      <c r="H17" s="164"/>
      <c r="I17" s="164"/>
    </row>
    <row r="18" spans="2:10" ht="12.75">
      <c r="B18" s="142" t="s">
        <v>84</v>
      </c>
      <c r="C18" s="133">
        <f>5810.31+2542.69+1915.86</f>
        <v>10268.86</v>
      </c>
      <c r="J18" s="164"/>
    </row>
    <row r="19" spans="2:13" ht="12.75">
      <c r="B19" s="142" t="s">
        <v>225</v>
      </c>
      <c r="C19" s="133">
        <f>5372+3455.48+18005.6+8491.1</f>
        <v>35324.18</v>
      </c>
      <c r="G19" s="164"/>
      <c r="H19" s="164"/>
      <c r="I19" s="164"/>
      <c r="J19" s="176"/>
      <c r="K19" s="164"/>
      <c r="M19" s="164"/>
    </row>
    <row r="20" spans="2:9" ht="13.5" thickBot="1">
      <c r="B20" s="143"/>
      <c r="C20" s="144"/>
      <c r="E20" s="202"/>
      <c r="F20" s="202"/>
      <c r="G20" s="202"/>
      <c r="H20" s="202"/>
      <c r="I20" s="204"/>
    </row>
    <row r="21" spans="2:11" ht="12.75">
      <c r="B21" s="145" t="s">
        <v>273</v>
      </c>
      <c r="C21" s="141">
        <v>35000</v>
      </c>
      <c r="F21" s="164"/>
      <c r="G21" s="164"/>
      <c r="I21" s="164"/>
      <c r="J21" s="176"/>
      <c r="K21" s="176"/>
    </row>
    <row r="22" spans="2:6" ht="12.75">
      <c r="B22" s="134" t="s">
        <v>274</v>
      </c>
      <c r="C22" s="140">
        <f>C23+C24+C25+C26</f>
        <v>33999.39</v>
      </c>
      <c r="E22" s="176"/>
      <c r="F22" s="164"/>
    </row>
    <row r="23" spans="2:9" ht="12.75">
      <c r="B23" s="142" t="s">
        <v>275</v>
      </c>
      <c r="C23" s="133">
        <v>4335.85</v>
      </c>
      <c r="F23" s="164"/>
      <c r="G23" s="164"/>
      <c r="H23" s="164"/>
      <c r="I23" s="164"/>
    </row>
    <row r="24" spans="2:8" ht="12.75">
      <c r="B24" s="142" t="s">
        <v>276</v>
      </c>
      <c r="C24" s="154">
        <v>3623.6</v>
      </c>
      <c r="D24" s="132"/>
      <c r="F24" s="164"/>
      <c r="G24" s="164"/>
      <c r="H24" s="164"/>
    </row>
    <row r="25" spans="2:7" ht="13.5" thickBot="1">
      <c r="B25" s="142" t="s">
        <v>277</v>
      </c>
      <c r="C25" s="133">
        <f>SUM(H12:J12)</f>
        <v>3378.05</v>
      </c>
      <c r="F25" s="164"/>
      <c r="G25" s="164"/>
    </row>
    <row r="26" spans="2:11" ht="12.75" customHeight="1">
      <c r="B26" s="142" t="s">
        <v>224</v>
      </c>
      <c r="C26" s="133">
        <f>23437.06-775.17</f>
        <v>22661.890000000003</v>
      </c>
      <c r="E26" s="346" t="s">
        <v>361</v>
      </c>
      <c r="F26" s="346" t="s">
        <v>374</v>
      </c>
      <c r="G26" s="346" t="s">
        <v>375</v>
      </c>
      <c r="H26" s="346" t="s">
        <v>376</v>
      </c>
      <c r="I26" s="346" t="s">
        <v>379</v>
      </c>
      <c r="J26" s="346" t="s">
        <v>377</v>
      </c>
      <c r="K26" s="224" t="s">
        <v>378</v>
      </c>
    </row>
    <row r="27" spans="2:11" ht="13.5" thickBot="1">
      <c r="B27" s="143"/>
      <c r="C27" s="144"/>
      <c r="E27" s="347"/>
      <c r="F27" s="347"/>
      <c r="G27" s="347"/>
      <c r="H27" s="347"/>
      <c r="I27" s="347"/>
      <c r="J27" s="347"/>
      <c r="K27" s="225"/>
    </row>
    <row r="28" spans="2:11" ht="15.75" thickBot="1">
      <c r="B28" s="220"/>
      <c r="C28" s="154"/>
      <c r="D28" s="231" t="s">
        <v>56</v>
      </c>
      <c r="E28" s="229">
        <v>550000</v>
      </c>
      <c r="F28" s="229">
        <v>95000</v>
      </c>
      <c r="G28" s="229">
        <v>81250</v>
      </c>
      <c r="H28" s="229">
        <v>23250</v>
      </c>
      <c r="I28" s="229"/>
      <c r="J28" s="229">
        <v>35000</v>
      </c>
      <c r="K28" s="229">
        <f>SUM(E28:J28)</f>
        <v>784500</v>
      </c>
    </row>
    <row r="29" spans="4:11" ht="15.75" thickBot="1">
      <c r="D29" s="232" t="s">
        <v>55</v>
      </c>
      <c r="E29" s="233">
        <v>568250</v>
      </c>
      <c r="F29" s="234">
        <v>95000</v>
      </c>
      <c r="G29" s="234">
        <v>81250</v>
      </c>
      <c r="H29" s="234">
        <v>5000</v>
      </c>
      <c r="I29" s="234"/>
      <c r="J29" s="234">
        <v>35000</v>
      </c>
      <c r="K29" s="234">
        <f>SUM(E29:J29)</f>
        <v>784500</v>
      </c>
    </row>
    <row r="30" spans="5:11" ht="13.5" thickBot="1">
      <c r="E30" s="230">
        <f>SUM(E31:E34)</f>
        <v>565769.36</v>
      </c>
      <c r="F30" s="230">
        <f>SUM(F31:F34)</f>
        <v>97776</v>
      </c>
      <c r="G30" s="230">
        <f>SUM(G31:G34)</f>
        <v>82800</v>
      </c>
      <c r="H30" s="230">
        <f>SUM(H31:H34)</f>
        <v>4993.82</v>
      </c>
      <c r="I30" s="230"/>
      <c r="J30" s="230">
        <f>SUM(J31:J34)</f>
        <v>33999.39</v>
      </c>
      <c r="K30" s="230">
        <f>SUM(K31:K34)</f>
        <v>785338.5700000001</v>
      </c>
    </row>
    <row r="31" spans="5:11" ht="13.5" thickBot="1">
      <c r="E31" s="227">
        <v>134164.73</v>
      </c>
      <c r="F31" s="228"/>
      <c r="G31" s="228"/>
      <c r="H31" s="228"/>
      <c r="I31" s="228"/>
      <c r="J31" s="228">
        <v>4335.85</v>
      </c>
      <c r="K31" s="223">
        <f>SUM(E31:J31)</f>
        <v>138500.58000000002</v>
      </c>
    </row>
    <row r="32" spans="3:11" ht="13.5" thickBot="1">
      <c r="C32" s="65"/>
      <c r="E32" s="227">
        <v>94196.22</v>
      </c>
      <c r="F32" s="228"/>
      <c r="G32" s="228"/>
      <c r="H32" s="228"/>
      <c r="I32" s="228"/>
      <c r="J32" s="228">
        <v>3623.6</v>
      </c>
      <c r="K32" s="223">
        <f>SUM(E32:J32)</f>
        <v>97819.82</v>
      </c>
    </row>
    <row r="33" spans="3:11" ht="13.5" thickBot="1">
      <c r="C33" s="58"/>
      <c r="E33" s="227">
        <v>42200.93</v>
      </c>
      <c r="F33" s="228">
        <v>12000</v>
      </c>
      <c r="G33" s="228"/>
      <c r="H33" s="228">
        <v>2102.66</v>
      </c>
      <c r="I33" s="228"/>
      <c r="J33" s="228">
        <v>3378.05</v>
      </c>
      <c r="K33" s="223">
        <f>SUM(E33:J33)</f>
        <v>59681.64</v>
      </c>
    </row>
    <row r="34" spans="5:11" ht="13.5" thickBot="1">
      <c r="E34" s="227">
        <v>295207.48</v>
      </c>
      <c r="F34" s="228">
        <v>85776</v>
      </c>
      <c r="G34" s="228">
        <v>82800</v>
      </c>
      <c r="H34" s="228">
        <v>2891.16</v>
      </c>
      <c r="I34" s="228"/>
      <c r="J34" s="228">
        <f>23437.06-775.17</f>
        <v>22661.890000000003</v>
      </c>
      <c r="K34" s="223">
        <f>SUM(E34:J34)</f>
        <v>489336.52999999997</v>
      </c>
    </row>
    <row r="35" ht="13.5" thickBot="1"/>
    <row r="36" spans="2:4" ht="12.75">
      <c r="B36" s="263"/>
      <c r="C36" s="256"/>
      <c r="D36" s="262">
        <v>784500</v>
      </c>
    </row>
    <row r="37" spans="2:4" ht="12.75">
      <c r="B37" s="264" t="s">
        <v>71</v>
      </c>
      <c r="C37" s="154">
        <f>D36*80/100</f>
        <v>627600</v>
      </c>
      <c r="D37" s="258"/>
    </row>
    <row r="38" spans="2:4" ht="12.75">
      <c r="B38" s="265" t="s">
        <v>72</v>
      </c>
      <c r="C38" s="257">
        <f>5*C37/100</f>
        <v>31380</v>
      </c>
      <c r="D38" s="259"/>
    </row>
    <row r="39" spans="2:4" ht="12.75">
      <c r="B39" s="265" t="s">
        <v>75</v>
      </c>
      <c r="C39" s="257">
        <f>95*C37/100</f>
        <v>596220</v>
      </c>
      <c r="D39" s="259"/>
    </row>
    <row r="40" spans="2:4" ht="12.75">
      <c r="B40" s="265" t="s">
        <v>74</v>
      </c>
      <c r="C40" s="154">
        <v>188280</v>
      </c>
      <c r="D40" s="258">
        <f>SUM(C40:C43)</f>
        <v>425081.6320000001</v>
      </c>
    </row>
    <row r="41" spans="2:4" ht="12.75">
      <c r="B41" s="266" t="s">
        <v>76</v>
      </c>
      <c r="C41" s="257">
        <v>110800.46400000002</v>
      </c>
      <c r="D41" s="258"/>
    </row>
    <row r="42" spans="2:4" ht="12.75">
      <c r="B42" s="266" t="s">
        <v>78</v>
      </c>
      <c r="C42" s="257">
        <v>78255.856</v>
      </c>
      <c r="D42" s="258"/>
    </row>
    <row r="43" spans="2:4" ht="12.75">
      <c r="B43" s="134" t="s">
        <v>79</v>
      </c>
      <c r="C43" s="273">
        <v>47745.312000000005</v>
      </c>
      <c r="D43" s="274"/>
    </row>
    <row r="44" spans="2:4" ht="13.5" thickBot="1">
      <c r="B44" s="267" t="s">
        <v>40</v>
      </c>
      <c r="C44" s="260">
        <f>C39-D40</f>
        <v>171138.3679999999</v>
      </c>
      <c r="D44" s="261">
        <f>SUM(C40:C44)</f>
        <v>596220</v>
      </c>
    </row>
  </sheetData>
  <sheetProtection/>
  <mergeCells count="12">
    <mergeCell ref="I26:I27"/>
    <mergeCell ref="J26:J27"/>
    <mergeCell ref="E26:E27"/>
    <mergeCell ref="F26:F27"/>
    <mergeCell ref="G26:G27"/>
    <mergeCell ref="H26:H27"/>
    <mergeCell ref="K10:L10"/>
    <mergeCell ref="B3:C3"/>
    <mergeCell ref="F8:G8"/>
    <mergeCell ref="H8:J8"/>
    <mergeCell ref="K9:L9"/>
    <mergeCell ref="D8:D9"/>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B3:M41"/>
  <sheetViews>
    <sheetView zoomScalePageLayoutView="0" workbookViewId="0" topLeftCell="A1">
      <selection activeCell="C34" sqref="C34"/>
    </sheetView>
  </sheetViews>
  <sheetFormatPr defaultColWidth="9.140625" defaultRowHeight="12.75"/>
  <cols>
    <col min="2" max="2" width="25.140625" style="0" bestFit="1" customWidth="1"/>
    <col min="3" max="4" width="12.2812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27.00390625" style="0" bestFit="1" customWidth="1"/>
    <col min="12" max="12" width="13.57421875" style="0" bestFit="1" customWidth="1"/>
    <col min="13" max="13" width="14.8515625" style="0" bestFit="1" customWidth="1"/>
  </cols>
  <sheetData>
    <row r="2" ht="13.5" thickBot="1"/>
    <row r="3" spans="2:4" ht="13.5" thickBot="1">
      <c r="B3" s="351" t="s">
        <v>617</v>
      </c>
      <c r="C3" s="352"/>
      <c r="D3" s="146">
        <v>669390</v>
      </c>
    </row>
    <row r="4" spans="2:4" ht="12.75">
      <c r="B4" s="138" t="s">
        <v>71</v>
      </c>
      <c r="C4" s="159">
        <v>535512</v>
      </c>
      <c r="D4" s="147"/>
    </row>
    <row r="5" spans="2:4" ht="12.75">
      <c r="B5" s="132" t="s">
        <v>72</v>
      </c>
      <c r="C5" s="154">
        <f>5*C4/100</f>
        <v>26775.6</v>
      </c>
      <c r="D5" s="132"/>
    </row>
    <row r="6" spans="2:5" ht="12.75">
      <c r="B6" s="132" t="s">
        <v>75</v>
      </c>
      <c r="C6" s="133">
        <f>95*C4/100</f>
        <v>508736.4</v>
      </c>
      <c r="E6" s="176"/>
    </row>
    <row r="7" spans="2:4" ht="13.5" thickBot="1">
      <c r="B7" s="132" t="s">
        <v>74</v>
      </c>
      <c r="C7" s="154">
        <f>30*C4/100</f>
        <v>160653.6</v>
      </c>
      <c r="D7" s="132"/>
    </row>
    <row r="8" spans="2:12" ht="13.5" thickBot="1">
      <c r="B8" s="132" t="s">
        <v>73</v>
      </c>
      <c r="C8" s="139">
        <f>65*C4/100</f>
        <v>348082.8</v>
      </c>
      <c r="D8" s="353" t="s">
        <v>154</v>
      </c>
      <c r="E8" s="151" t="s">
        <v>143</v>
      </c>
      <c r="F8" s="355" t="s">
        <v>684</v>
      </c>
      <c r="G8" s="356"/>
      <c r="H8" s="357" t="s">
        <v>147</v>
      </c>
      <c r="I8" s="358"/>
      <c r="J8" s="359"/>
      <c r="K8" s="167" t="s">
        <v>148</v>
      </c>
      <c r="L8" s="168" t="s">
        <v>149</v>
      </c>
    </row>
    <row r="9" spans="2:13" ht="13.5" thickBot="1">
      <c r="B9" s="134" t="s">
        <v>77</v>
      </c>
      <c r="C9" s="139">
        <f>C10+C11+C12</f>
        <v>128258.37839999996</v>
      </c>
      <c r="D9" s="354"/>
      <c r="E9" s="157">
        <f>SUM(E10:E13)</f>
        <v>431947.33999999997</v>
      </c>
      <c r="F9" s="153" t="s">
        <v>141</v>
      </c>
      <c r="G9" s="148" t="s">
        <v>142</v>
      </c>
      <c r="H9" s="149" t="s">
        <v>144</v>
      </c>
      <c r="I9" s="150" t="s">
        <v>145</v>
      </c>
      <c r="J9" s="150" t="s">
        <v>147</v>
      </c>
      <c r="K9" s="370" t="s">
        <v>150</v>
      </c>
      <c r="L9" s="361"/>
      <c r="M9" s="150" t="s">
        <v>146</v>
      </c>
    </row>
    <row r="10" spans="2:13" ht="12.75">
      <c r="B10" s="134" t="s">
        <v>76</v>
      </c>
      <c r="C10" s="133">
        <f>E10*80/100</f>
        <v>25962.535999999996</v>
      </c>
      <c r="D10" s="156" t="s">
        <v>151</v>
      </c>
      <c r="E10" s="158">
        <f>SUM(F10:M10)</f>
        <v>32453.17</v>
      </c>
      <c r="F10" s="152">
        <v>13895.41</v>
      </c>
      <c r="G10" s="152">
        <f>10191.67+2038.33</f>
        <v>12230</v>
      </c>
      <c r="H10" s="152"/>
      <c r="I10" s="152" t="s">
        <v>156</v>
      </c>
      <c r="J10" s="152">
        <v>1520.16</v>
      </c>
      <c r="K10" s="371">
        <f>3923+884.6</f>
        <v>4807.6</v>
      </c>
      <c r="L10" s="372"/>
      <c r="M10" s="152"/>
    </row>
    <row r="11" spans="2:13" ht="12.75">
      <c r="B11" s="134" t="s">
        <v>78</v>
      </c>
      <c r="C11" s="184">
        <f>E11*80/100</f>
        <v>47150.608</v>
      </c>
      <c r="D11" s="185" t="s">
        <v>153</v>
      </c>
      <c r="E11" s="186">
        <f>SUM(F11:M11)</f>
        <v>58938.259999999995</v>
      </c>
      <c r="F11" s="187">
        <v>35712.6</v>
      </c>
      <c r="G11" s="187">
        <v>12260</v>
      </c>
      <c r="H11" s="187"/>
      <c r="I11" s="187"/>
      <c r="J11" s="187">
        <v>10776.66</v>
      </c>
      <c r="K11" s="348">
        <v>189</v>
      </c>
      <c r="L11" s="350"/>
      <c r="M11" s="187"/>
    </row>
    <row r="12" spans="2:13" ht="13.5" thickBot="1">
      <c r="B12" s="136" t="s">
        <v>79</v>
      </c>
      <c r="C12" s="184">
        <v>55145.23439999996</v>
      </c>
      <c r="D12" s="155" t="s">
        <v>372</v>
      </c>
      <c r="E12" s="186">
        <f>SUM(F12:M12)</f>
        <v>288755.91</v>
      </c>
      <c r="F12" s="187">
        <v>113419.36</v>
      </c>
      <c r="G12" s="187">
        <v>79106</v>
      </c>
      <c r="H12" s="187"/>
      <c r="I12" s="187"/>
      <c r="J12" s="187">
        <f>23944.17-17233.62</f>
        <v>6710.549999999999</v>
      </c>
      <c r="K12" s="348">
        <v>89520</v>
      </c>
      <c r="L12" s="350"/>
      <c r="M12" s="187"/>
    </row>
    <row r="13" spans="2:13" ht="12.75">
      <c r="B13" s="145" t="s">
        <v>80</v>
      </c>
      <c r="C13" s="141">
        <f>10*D3/100</f>
        <v>66939</v>
      </c>
      <c r="E13" s="186">
        <f>SUM(F13:M13)</f>
        <v>51800</v>
      </c>
      <c r="F13" s="187"/>
      <c r="G13" s="187">
        <v>8400</v>
      </c>
      <c r="H13" s="187"/>
      <c r="I13" s="187"/>
      <c r="J13" s="187"/>
      <c r="K13" s="348">
        <v>43400</v>
      </c>
      <c r="L13" s="350"/>
      <c r="M13" s="187"/>
    </row>
    <row r="14" spans="2:12" ht="12.75">
      <c r="B14" s="134" t="s">
        <v>82</v>
      </c>
      <c r="C14" s="140">
        <f>C15+C17+C16</f>
        <v>66400</v>
      </c>
      <c r="E14" s="164"/>
      <c r="F14" s="164"/>
      <c r="G14" s="164"/>
      <c r="I14" s="164"/>
      <c r="J14" s="164"/>
      <c r="K14" s="164"/>
      <c r="L14" s="164"/>
    </row>
    <row r="15" spans="2:12" ht="12.75">
      <c r="B15" s="142" t="s">
        <v>81</v>
      </c>
      <c r="C15" s="133">
        <v>0</v>
      </c>
      <c r="E15" s="176"/>
      <c r="F15" s="164"/>
      <c r="G15" s="164"/>
      <c r="K15" s="164"/>
      <c r="L15" s="164"/>
    </row>
    <row r="16" spans="2:6" ht="12.75">
      <c r="B16" s="142" t="s">
        <v>83</v>
      </c>
      <c r="D16" s="132"/>
      <c r="F16" s="164"/>
    </row>
    <row r="17" spans="2:8" ht="12.75">
      <c r="B17" s="142" t="s">
        <v>84</v>
      </c>
      <c r="C17" s="133">
        <v>66400</v>
      </c>
      <c r="G17" s="176"/>
      <c r="H17" s="164"/>
    </row>
    <row r="18" spans="2:3" ht="12.75">
      <c r="B18" s="132"/>
      <c r="C18" s="133"/>
    </row>
    <row r="19" spans="2:3" ht="13.5" thickBot="1">
      <c r="B19" s="143"/>
      <c r="C19" s="144"/>
    </row>
    <row r="20" spans="2:3" ht="12.75">
      <c r="B20" s="145" t="s">
        <v>273</v>
      </c>
      <c r="C20" s="141">
        <f>5*E9/100</f>
        <v>21597.367</v>
      </c>
    </row>
    <row r="21" spans="2:3" ht="12.75">
      <c r="B21" s="134" t="s">
        <v>274</v>
      </c>
      <c r="C21" s="140">
        <f>C23+C24+C22</f>
        <v>19007.37</v>
      </c>
    </row>
    <row r="22" spans="2:8" ht="12.75">
      <c r="B22" s="142" t="s">
        <v>275</v>
      </c>
      <c r="C22" s="133">
        <f>SUM(H10:J10)</f>
        <v>1520.16</v>
      </c>
      <c r="F22" s="164"/>
      <c r="G22" s="164"/>
      <c r="H22" s="164"/>
    </row>
    <row r="23" spans="2:3" ht="13.5" thickBot="1">
      <c r="B23" s="142" t="s">
        <v>276</v>
      </c>
      <c r="C23" s="133">
        <f>SUM(H11:J11)</f>
        <v>10776.66</v>
      </c>
    </row>
    <row r="24" spans="2:11" ht="12.75">
      <c r="B24" s="142" t="s">
        <v>277</v>
      </c>
      <c r="C24" s="184">
        <f>SUM(H12:J12)</f>
        <v>6710.549999999999</v>
      </c>
      <c r="E24" s="346" t="s">
        <v>361</v>
      </c>
      <c r="F24" s="346" t="s">
        <v>374</v>
      </c>
      <c r="G24" s="346" t="s">
        <v>375</v>
      </c>
      <c r="H24" s="346" t="s">
        <v>376</v>
      </c>
      <c r="I24" s="346" t="s">
        <v>379</v>
      </c>
      <c r="J24" s="346" t="s">
        <v>377</v>
      </c>
      <c r="K24" s="224" t="s">
        <v>378</v>
      </c>
    </row>
    <row r="25" spans="2:11" ht="13.5" thickBot="1">
      <c r="B25" s="132"/>
      <c r="C25" s="133"/>
      <c r="E25" s="347"/>
      <c r="F25" s="347"/>
      <c r="G25" s="347"/>
      <c r="H25" s="347"/>
      <c r="I25" s="347"/>
      <c r="J25" s="347"/>
      <c r="K25" s="225"/>
    </row>
    <row r="26" spans="2:11" ht="15.75" thickBot="1">
      <c r="B26" s="143"/>
      <c r="C26" s="144"/>
      <c r="D26" s="231" t="s">
        <v>56</v>
      </c>
      <c r="E26" s="229">
        <v>214000</v>
      </c>
      <c r="F26" s="226">
        <v>117800</v>
      </c>
      <c r="G26" s="226">
        <v>48000</v>
      </c>
      <c r="H26" s="226">
        <v>75000</v>
      </c>
      <c r="I26" s="226">
        <v>181000</v>
      </c>
      <c r="J26" s="226">
        <v>33590</v>
      </c>
      <c r="K26" s="226">
        <f>SUM(E26:J26)</f>
        <v>669390</v>
      </c>
    </row>
    <row r="27" spans="5:11" ht="13.5" thickBot="1">
      <c r="E27" s="230">
        <f aca="true" t="shared" si="0" ref="E27:K27">SUM(E28:E31)</f>
        <v>163027.37</v>
      </c>
      <c r="F27" s="230">
        <f t="shared" si="0"/>
        <v>111996</v>
      </c>
      <c r="G27" s="230">
        <f t="shared" si="0"/>
        <v>2500</v>
      </c>
      <c r="H27" s="230">
        <f>SUM(H28:H31)</f>
        <v>90920</v>
      </c>
      <c r="I27" s="230">
        <f t="shared" si="0"/>
        <v>44496.6</v>
      </c>
      <c r="J27" s="230">
        <f t="shared" si="0"/>
        <v>19007.37</v>
      </c>
      <c r="K27" s="230">
        <f t="shared" si="0"/>
        <v>431947.33999999997</v>
      </c>
    </row>
    <row r="28" spans="5:11" ht="13.5" thickBot="1">
      <c r="E28" s="227">
        <v>13895.41</v>
      </c>
      <c r="F28" s="228">
        <v>12230</v>
      </c>
      <c r="G28" s="228">
        <v>2500</v>
      </c>
      <c r="H28" s="228"/>
      <c r="I28" s="228">
        <v>2307.6</v>
      </c>
      <c r="J28" s="228">
        <v>1520.16</v>
      </c>
      <c r="K28" s="223">
        <f>SUM(E28:J28)</f>
        <v>32453.17</v>
      </c>
    </row>
    <row r="29" spans="2:11" ht="13.5" thickBot="1">
      <c r="B29" s="277" t="s">
        <v>363</v>
      </c>
      <c r="C29" s="278">
        <f>C4-C34</f>
        <v>189954.12800000003</v>
      </c>
      <c r="D29" s="287">
        <f>D3-D33</f>
        <v>237442.66000000003</v>
      </c>
      <c r="E29" s="227">
        <v>35712.6</v>
      </c>
      <c r="F29" s="228">
        <v>12260</v>
      </c>
      <c r="G29" s="228"/>
      <c r="H29" s="228"/>
      <c r="I29" s="228">
        <v>189</v>
      </c>
      <c r="J29" s="228">
        <v>10776.66</v>
      </c>
      <c r="K29" s="223">
        <f>SUM(E29:J29)</f>
        <v>58938.259999999995</v>
      </c>
    </row>
    <row r="30" spans="5:11" ht="13.5" thickBot="1">
      <c r="E30" s="227">
        <v>113419.36</v>
      </c>
      <c r="F30" s="228">
        <v>79106</v>
      </c>
      <c r="G30" s="228"/>
      <c r="H30" s="228">
        <v>47520</v>
      </c>
      <c r="I30" s="228">
        <v>42000</v>
      </c>
      <c r="J30" s="228">
        <f>23944.17-17233.62</f>
        <v>6710.549999999999</v>
      </c>
      <c r="K30" s="223">
        <f>SUM(E30:J30)</f>
        <v>288755.91</v>
      </c>
    </row>
    <row r="31" spans="5:11" ht="13.5" thickBot="1">
      <c r="E31" s="227"/>
      <c r="F31" s="228">
        <v>8400</v>
      </c>
      <c r="G31" s="228"/>
      <c r="H31" s="373">
        <v>43400</v>
      </c>
      <c r="I31" s="374"/>
      <c r="J31" s="228"/>
      <c r="K31" s="223">
        <f>SUM(E31:J31)</f>
        <v>51800</v>
      </c>
    </row>
    <row r="32" ht="13.5" thickBot="1"/>
    <row r="33" spans="2:4" ht="12.75">
      <c r="B33" s="263"/>
      <c r="C33" s="256"/>
      <c r="D33" s="262">
        <v>431947.33999999997</v>
      </c>
    </row>
    <row r="34" spans="2:4" ht="13.5" thickBot="1">
      <c r="B34" s="264" t="s">
        <v>71</v>
      </c>
      <c r="C34" s="257">
        <f>D33*80/100</f>
        <v>345557.872</v>
      </c>
      <c r="D34" s="258"/>
    </row>
    <row r="35" spans="2:5" ht="13.5" thickBot="1">
      <c r="B35" s="265" t="s">
        <v>72</v>
      </c>
      <c r="C35" s="257">
        <f>5*C34/100</f>
        <v>17277.8936</v>
      </c>
      <c r="D35" s="258">
        <f>C36-D40</f>
        <v>39368</v>
      </c>
      <c r="E35" s="314">
        <f>SUM(C35:D35)</f>
        <v>56645.893599999996</v>
      </c>
    </row>
    <row r="36" spans="2:4" ht="12.75">
      <c r="B36" s="265" t="s">
        <v>75</v>
      </c>
      <c r="C36" s="257">
        <f>95*C34/100</f>
        <v>328279.97839999996</v>
      </c>
      <c r="D36" s="259"/>
    </row>
    <row r="37" spans="2:7" ht="12.75">
      <c r="B37" s="266" t="s">
        <v>74</v>
      </c>
      <c r="C37" s="257">
        <v>160653.6</v>
      </c>
      <c r="D37" s="258"/>
      <c r="G37" s="176"/>
    </row>
    <row r="38" spans="2:7" ht="12.75">
      <c r="B38" s="266" t="s">
        <v>76</v>
      </c>
      <c r="C38" s="257">
        <v>25962.535999999996</v>
      </c>
      <c r="D38" s="258"/>
      <c r="G38" s="176"/>
    </row>
    <row r="39" spans="2:7" ht="12.75">
      <c r="B39" s="266" t="s">
        <v>78</v>
      </c>
      <c r="C39" s="257">
        <v>47150.608</v>
      </c>
      <c r="D39" s="258"/>
      <c r="G39" s="176"/>
    </row>
    <row r="40" spans="2:7" ht="13.5" thickBot="1">
      <c r="B40" s="315" t="s">
        <v>79</v>
      </c>
      <c r="C40" s="316">
        <v>55145.23439999996</v>
      </c>
      <c r="D40" s="261">
        <f>SUM(C37:C40)</f>
        <v>288911.97839999996</v>
      </c>
      <c r="F40" s="176"/>
      <c r="G40" s="176"/>
    </row>
    <row r="41" spans="2:6" ht="12.75">
      <c r="B41" s="176"/>
      <c r="C41" s="255"/>
      <c r="D41" s="154"/>
      <c r="F41" s="176"/>
    </row>
  </sheetData>
  <sheetProtection/>
  <mergeCells count="16">
    <mergeCell ref="K13:L13"/>
    <mergeCell ref="H31:I31"/>
    <mergeCell ref="I24:I25"/>
    <mergeCell ref="J24:J25"/>
    <mergeCell ref="E24:E25"/>
    <mergeCell ref="F24:F25"/>
    <mergeCell ref="G24:G25"/>
    <mergeCell ref="H24:H25"/>
    <mergeCell ref="K11:L11"/>
    <mergeCell ref="K12:L12"/>
    <mergeCell ref="K9:L9"/>
    <mergeCell ref="K10:L10"/>
    <mergeCell ref="B3:C3"/>
    <mergeCell ref="D8:D9"/>
    <mergeCell ref="F8:G8"/>
    <mergeCell ref="H8:J8"/>
  </mergeCells>
  <printOptions/>
  <pageMargins left="0.7480314960629921" right="0.7480314960629921" top="0.984251968503937" bottom="0.984251968503937" header="0.5118110236220472" footer="0.5118110236220472"/>
  <pageSetup fitToHeight="1" fitToWidth="1" horizontalDpi="600" verticalDpi="600" orientation="landscape" paperSize="9" scale="58" r:id="rId3"/>
  <legacyDrawing r:id="rId2"/>
</worksheet>
</file>

<file path=xl/worksheets/sheet6.xml><?xml version="1.0" encoding="utf-8"?>
<worksheet xmlns="http://schemas.openxmlformats.org/spreadsheetml/2006/main" xmlns:r="http://schemas.openxmlformats.org/officeDocument/2006/relationships">
  <dimension ref="B3:M32"/>
  <sheetViews>
    <sheetView zoomScalePageLayoutView="0" workbookViewId="0" topLeftCell="B1">
      <selection activeCell="C11" sqref="C11"/>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27.00390625" style="0" bestFit="1" customWidth="1"/>
    <col min="12" max="12" width="13.57421875" style="0" bestFit="1" customWidth="1"/>
    <col min="13" max="13" width="14.8515625" style="0" bestFit="1" customWidth="1"/>
  </cols>
  <sheetData>
    <row r="2" ht="13.5" thickBot="1"/>
    <row r="3" spans="2:4" ht="13.5" thickBot="1">
      <c r="B3" s="351" t="s">
        <v>157</v>
      </c>
      <c r="C3" s="352"/>
      <c r="D3" s="146">
        <v>879450</v>
      </c>
    </row>
    <row r="4" spans="2:4" ht="12.75">
      <c r="B4" s="138" t="s">
        <v>71</v>
      </c>
      <c r="C4" s="159">
        <v>703560</v>
      </c>
      <c r="D4" s="147"/>
    </row>
    <row r="5" spans="2:4" ht="12.75">
      <c r="B5" s="132" t="s">
        <v>72</v>
      </c>
      <c r="C5" s="154">
        <f>5*C4/100</f>
        <v>35178</v>
      </c>
      <c r="D5" s="132"/>
    </row>
    <row r="6" spans="2:5" ht="12.75">
      <c r="B6" s="132" t="s">
        <v>75</v>
      </c>
      <c r="C6" s="133">
        <f>95*C4/100</f>
        <v>668382</v>
      </c>
      <c r="E6" s="176"/>
    </row>
    <row r="7" spans="2:4" ht="13.5" thickBot="1">
      <c r="B7" s="132" t="s">
        <v>74</v>
      </c>
      <c r="C7" s="154">
        <f>30*C4/100</f>
        <v>211068</v>
      </c>
      <c r="D7" s="132"/>
    </row>
    <row r="8" spans="2:12" ht="13.5" thickBot="1">
      <c r="B8" s="132" t="s">
        <v>73</v>
      </c>
      <c r="C8" s="139">
        <f>65*C4/100</f>
        <v>457314</v>
      </c>
      <c r="D8" s="353" t="s">
        <v>154</v>
      </c>
      <c r="E8" s="151" t="s">
        <v>143</v>
      </c>
      <c r="F8" s="355" t="s">
        <v>684</v>
      </c>
      <c r="G8" s="356"/>
      <c r="H8" s="357" t="s">
        <v>147</v>
      </c>
      <c r="I8" s="358"/>
      <c r="J8" s="359"/>
      <c r="K8" s="167" t="s">
        <v>148</v>
      </c>
      <c r="L8" s="168" t="s">
        <v>149</v>
      </c>
    </row>
    <row r="9" spans="2:13" ht="13.5" thickBot="1">
      <c r="B9" s="134" t="s">
        <v>77</v>
      </c>
      <c r="C9" s="139">
        <f>C10+C11+C12</f>
        <v>457314.002</v>
      </c>
      <c r="D9" s="354"/>
      <c r="E9" s="157">
        <f>SUM(E10:E13)</f>
        <v>733202.91</v>
      </c>
      <c r="F9" s="153" t="s">
        <v>141</v>
      </c>
      <c r="G9" s="148" t="s">
        <v>142</v>
      </c>
      <c r="H9" s="149" t="s">
        <v>144</v>
      </c>
      <c r="I9" s="150" t="s">
        <v>145</v>
      </c>
      <c r="J9" s="150" t="s">
        <v>147</v>
      </c>
      <c r="K9" s="370" t="s">
        <v>150</v>
      </c>
      <c r="L9" s="361"/>
      <c r="M9" s="150" t="s">
        <v>146</v>
      </c>
    </row>
    <row r="10" spans="2:13" ht="12.75">
      <c r="B10" s="134" t="s">
        <v>76</v>
      </c>
      <c r="C10" s="184">
        <f>E10*80/100</f>
        <v>138191.056</v>
      </c>
      <c r="D10" s="207" t="s">
        <v>151</v>
      </c>
      <c r="E10" s="186">
        <f>SUM(F10:M10)</f>
        <v>172738.82</v>
      </c>
      <c r="F10" s="187">
        <v>44090.4</v>
      </c>
      <c r="G10" s="187">
        <v>110266.14</v>
      </c>
      <c r="H10" s="187"/>
      <c r="I10" s="187" t="s">
        <v>156</v>
      </c>
      <c r="J10" s="187" t="s">
        <v>155</v>
      </c>
      <c r="K10" s="375">
        <v>18382.28</v>
      </c>
      <c r="L10" s="376"/>
      <c r="M10" s="187"/>
    </row>
    <row r="11" spans="2:13" ht="12.75">
      <c r="B11" s="134" t="s">
        <v>78</v>
      </c>
      <c r="C11" s="188">
        <f>E11*80/100-11843.59</f>
        <v>319122.94599999994</v>
      </c>
      <c r="D11" s="244" t="s">
        <v>153</v>
      </c>
      <c r="E11" s="245">
        <f>SUM(F11:M11)</f>
        <v>413708.17</v>
      </c>
      <c r="F11" s="246">
        <v>38544.4</v>
      </c>
      <c r="G11" s="246">
        <v>300999.15</v>
      </c>
      <c r="H11" s="246">
        <v>1650.6</v>
      </c>
      <c r="I11" s="246">
        <v>15225.55</v>
      </c>
      <c r="J11" s="246">
        <v>2722.55</v>
      </c>
      <c r="K11" s="246"/>
      <c r="L11" s="246">
        <v>54565.92</v>
      </c>
      <c r="M11" s="246"/>
    </row>
    <row r="12" spans="2:13" ht="13.5" thickBot="1">
      <c r="B12" s="136" t="s">
        <v>79</v>
      </c>
      <c r="C12" s="137"/>
      <c r="D12" s="244" t="s">
        <v>372</v>
      </c>
      <c r="E12" s="245">
        <f>SUM(F12:M12)</f>
        <v>146755.92</v>
      </c>
      <c r="F12" s="246">
        <f>SUM(F13:F14)</f>
        <v>6944.3</v>
      </c>
      <c r="G12" s="246">
        <f>SUM(G13:G15)</f>
        <v>110518.46</v>
      </c>
      <c r="H12" s="246">
        <v>1390.94</v>
      </c>
      <c r="I12" s="246">
        <f>SUM(I13:I14)</f>
        <v>4912.22</v>
      </c>
      <c r="J12" s="246"/>
      <c r="K12" s="246"/>
      <c r="L12" s="246">
        <f>SUM(L13:L14)</f>
        <v>22990</v>
      </c>
      <c r="M12" s="246"/>
    </row>
    <row r="13" spans="2:12" ht="12.75">
      <c r="B13" s="145" t="s">
        <v>80</v>
      </c>
      <c r="C13" s="141">
        <f>10*D3/100</f>
        <v>87945</v>
      </c>
      <c r="F13">
        <v>0.02</v>
      </c>
      <c r="G13" s="164">
        <f>74052.16-890.39</f>
        <v>73161.77</v>
      </c>
      <c r="I13" s="164">
        <v>1216.46</v>
      </c>
      <c r="L13" s="164">
        <v>17640</v>
      </c>
    </row>
    <row r="14" spans="2:12" ht="12.75">
      <c r="B14" s="134" t="s">
        <v>82</v>
      </c>
      <c r="C14" s="140">
        <f>C15+C16+C17</f>
        <v>87950</v>
      </c>
      <c r="F14" s="164">
        <v>6944.28</v>
      </c>
      <c r="G14" s="164">
        <v>26906.69</v>
      </c>
      <c r="I14" s="164">
        <v>3695.76</v>
      </c>
      <c r="L14" s="164">
        <v>5350</v>
      </c>
    </row>
    <row r="15" spans="2:13" ht="12.75">
      <c r="B15" s="142" t="s">
        <v>81</v>
      </c>
      <c r="C15" s="133">
        <v>0</v>
      </c>
      <c r="F15" s="176"/>
      <c r="G15" s="164">
        <v>10450</v>
      </c>
      <c r="M15" s="206"/>
    </row>
    <row r="16" spans="2:13" ht="12.75">
      <c r="B16" s="142" t="s">
        <v>83</v>
      </c>
      <c r="C16" s="188">
        <f>78950+9000</f>
        <v>87950</v>
      </c>
      <c r="E16" s="245">
        <f>SUM(F16:M16)</f>
        <v>146247.1</v>
      </c>
      <c r="F16" s="246"/>
      <c r="G16" s="246">
        <v>146247.1</v>
      </c>
      <c r="H16" s="246"/>
      <c r="I16" s="246"/>
      <c r="J16" s="246"/>
      <c r="K16" s="246"/>
      <c r="L16" s="246"/>
      <c r="M16" s="246"/>
    </row>
    <row r="17" spans="2:7" ht="12.75">
      <c r="B17" s="142" t="s">
        <v>84</v>
      </c>
      <c r="C17" s="133"/>
      <c r="G17" s="164"/>
    </row>
    <row r="18" spans="2:7" ht="12.75">
      <c r="B18" s="132"/>
      <c r="C18" s="133"/>
      <c r="G18" s="164"/>
    </row>
    <row r="19" spans="2:3" ht="13.5" thickBot="1">
      <c r="B19" s="143"/>
      <c r="C19" s="144"/>
    </row>
    <row r="20" spans="2:3" ht="12.75">
      <c r="B20" s="145" t="s">
        <v>273</v>
      </c>
      <c r="C20" s="141">
        <f>5*D3/100</f>
        <v>43972.5</v>
      </c>
    </row>
    <row r="21" spans="2:3" ht="12.75">
      <c r="B21" s="134" t="s">
        <v>274</v>
      </c>
      <c r="C21" s="140">
        <f>C22+C23+C24</f>
        <v>25901.859999999997</v>
      </c>
    </row>
    <row r="22" spans="2:3" ht="12.75">
      <c r="B22" s="142" t="s">
        <v>275</v>
      </c>
      <c r="C22" s="133">
        <v>0</v>
      </c>
    </row>
    <row r="23" spans="2:3" ht="13.5" thickBot="1">
      <c r="B23" s="142" t="s">
        <v>276</v>
      </c>
      <c r="C23" s="133">
        <f>SUM(H11:J11)</f>
        <v>19598.699999999997</v>
      </c>
    </row>
    <row r="24" spans="2:11" ht="12.75">
      <c r="B24" s="142" t="s">
        <v>277</v>
      </c>
      <c r="C24" s="133">
        <f>SUM(H12:J12)</f>
        <v>6303.16</v>
      </c>
      <c r="E24" s="346" t="s">
        <v>361</v>
      </c>
      <c r="F24" s="346" t="s">
        <v>374</v>
      </c>
      <c r="G24" s="346" t="s">
        <v>375</v>
      </c>
      <c r="H24" s="346" t="s">
        <v>376</v>
      </c>
      <c r="I24" s="346" t="s">
        <v>379</v>
      </c>
      <c r="J24" s="346" t="s">
        <v>377</v>
      </c>
      <c r="K24" s="224" t="s">
        <v>378</v>
      </c>
    </row>
    <row r="25" spans="2:11" ht="13.5" thickBot="1">
      <c r="B25" s="132"/>
      <c r="C25" s="133"/>
      <c r="E25" s="347"/>
      <c r="F25" s="347"/>
      <c r="G25" s="347"/>
      <c r="H25" s="347"/>
      <c r="I25" s="347"/>
      <c r="J25" s="347"/>
      <c r="K25" s="225"/>
    </row>
    <row r="26" spans="2:11" ht="15.75" thickBot="1">
      <c r="B26" s="143"/>
      <c r="C26" s="144"/>
      <c r="D26" s="231" t="s">
        <v>56</v>
      </c>
      <c r="E26" s="229">
        <v>323100</v>
      </c>
      <c r="F26" s="226">
        <v>348000</v>
      </c>
      <c r="G26" s="226">
        <v>36720</v>
      </c>
      <c r="H26" s="226">
        <v>101640</v>
      </c>
      <c r="I26" s="226">
        <v>26016</v>
      </c>
      <c r="J26" s="226">
        <v>43974</v>
      </c>
      <c r="K26" s="226">
        <f>SUM(E26:J26)</f>
        <v>879450</v>
      </c>
    </row>
    <row r="27" spans="2:11" ht="15.75" thickBot="1">
      <c r="B27" s="220"/>
      <c r="C27" s="154"/>
      <c r="D27" s="232" t="s">
        <v>55</v>
      </c>
      <c r="E27" s="234">
        <v>466427.22</v>
      </c>
      <c r="F27" s="234">
        <v>281188</v>
      </c>
      <c r="G27" s="234">
        <v>0</v>
      </c>
      <c r="H27" s="234">
        <v>95938.2</v>
      </c>
      <c r="I27" s="234">
        <v>0</v>
      </c>
      <c r="J27" s="288">
        <v>35896.58</v>
      </c>
      <c r="K27" s="234">
        <f>SUM(E27:J27)</f>
        <v>879449.9999999999</v>
      </c>
    </row>
    <row r="28" spans="5:11" ht="13.5" thickBot="1">
      <c r="E28" s="230">
        <f>SUM(E29:E32)</f>
        <v>469360.36</v>
      </c>
      <c r="F28" s="230">
        <f aca="true" t="shared" si="0" ref="F28:K28">SUM(F29:F32)</f>
        <v>288249.59</v>
      </c>
      <c r="G28" s="230">
        <f t="shared" si="0"/>
        <v>0</v>
      </c>
      <c r="H28" s="230">
        <f t="shared" si="0"/>
        <v>95938.2</v>
      </c>
      <c r="I28" s="230">
        <f t="shared" si="0"/>
        <v>0</v>
      </c>
      <c r="J28" s="230">
        <f t="shared" si="0"/>
        <v>25901.86</v>
      </c>
      <c r="K28" s="230">
        <f t="shared" si="0"/>
        <v>879450.01</v>
      </c>
    </row>
    <row r="29" spans="5:11" ht="13.5" thickBot="1">
      <c r="E29" s="227">
        <v>105299.67</v>
      </c>
      <c r="F29" s="228">
        <v>49056.87</v>
      </c>
      <c r="G29" s="228"/>
      <c r="H29" s="228">
        <v>18382.28</v>
      </c>
      <c r="I29" s="228"/>
      <c r="J29" s="228"/>
      <c r="K29" s="223">
        <f>SUM(E29:J29)</f>
        <v>172738.82</v>
      </c>
    </row>
    <row r="30" spans="5:11" ht="13.5" thickBot="1">
      <c r="E30" s="247">
        <v>318019.47</v>
      </c>
      <c r="F30" s="248">
        <v>21524.08</v>
      </c>
      <c r="G30" s="248"/>
      <c r="H30" s="248">
        <v>54565.92</v>
      </c>
      <c r="I30" s="248"/>
      <c r="J30" s="248">
        <v>19598.7</v>
      </c>
      <c r="K30" s="249">
        <f>SUM(E30:J30)</f>
        <v>413708.17</v>
      </c>
    </row>
    <row r="31" spans="5:11" ht="13.5" thickBot="1">
      <c r="E31" s="247">
        <f>46931.61-890.39</f>
        <v>46041.22</v>
      </c>
      <c r="F31" s="248">
        <f>60971.54+10450</f>
        <v>71421.54000000001</v>
      </c>
      <c r="G31" s="248"/>
      <c r="H31" s="248">
        <f>33440-10450</f>
        <v>22990</v>
      </c>
      <c r="I31" s="248"/>
      <c r="J31" s="248">
        <v>6303.16</v>
      </c>
      <c r="K31" s="249">
        <f>SUM(E31:J31)</f>
        <v>146755.92</v>
      </c>
    </row>
    <row r="32" spans="5:11" ht="13.5" thickBot="1">
      <c r="E32" s="227"/>
      <c r="F32" s="228">
        <v>146247.1</v>
      </c>
      <c r="G32" s="228"/>
      <c r="H32" s="228"/>
      <c r="I32" s="228"/>
      <c r="J32" s="228"/>
      <c r="K32" s="223">
        <f>SUM(E32:J32)</f>
        <v>146247.1</v>
      </c>
    </row>
  </sheetData>
  <sheetProtection/>
  <mergeCells count="12">
    <mergeCell ref="I24:I25"/>
    <mergeCell ref="J24:J25"/>
    <mergeCell ref="E24:E25"/>
    <mergeCell ref="F24:F25"/>
    <mergeCell ref="G24:G25"/>
    <mergeCell ref="H24:H25"/>
    <mergeCell ref="K9:L9"/>
    <mergeCell ref="K10:L10"/>
    <mergeCell ref="B3:C3"/>
    <mergeCell ref="D8:D9"/>
    <mergeCell ref="F8:G8"/>
    <mergeCell ref="H8:J8"/>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B3:M42"/>
  <sheetViews>
    <sheetView zoomScalePageLayoutView="0" workbookViewId="0" topLeftCell="B1">
      <selection activeCell="K31" sqref="K31"/>
    </sheetView>
  </sheetViews>
  <sheetFormatPr defaultColWidth="9.140625" defaultRowHeight="12.75"/>
  <cols>
    <col min="2" max="2" width="25.140625" style="0" bestFit="1" customWidth="1"/>
    <col min="3" max="4" width="11.7109375" style="0" bestFit="1" customWidth="1"/>
    <col min="5" max="5" width="17.8515625" style="0" bestFit="1" customWidth="1"/>
    <col min="6" max="6" width="26.140625" style="0" bestFit="1" customWidth="1"/>
    <col min="7" max="7" width="22.8515625" style="0" bestFit="1" customWidth="1"/>
    <col min="8" max="8" width="18.421875" style="0" bestFit="1" customWidth="1"/>
    <col min="9" max="9" width="15.28125" style="0" bestFit="1" customWidth="1"/>
    <col min="10" max="10" width="13.8515625" style="0" bestFit="1" customWidth="1"/>
    <col min="11" max="11" width="27.00390625" style="0" bestFit="1" customWidth="1"/>
    <col min="12" max="12" width="18.140625" style="0" bestFit="1" customWidth="1"/>
    <col min="13" max="13" width="14.8515625" style="0" bestFit="1" customWidth="1"/>
  </cols>
  <sheetData>
    <row r="2" ht="13.5" thickBot="1"/>
    <row r="3" spans="2:4" ht="13.5" thickBot="1">
      <c r="B3" s="351" t="s">
        <v>592</v>
      </c>
      <c r="C3" s="352"/>
      <c r="D3" s="146">
        <v>857894</v>
      </c>
    </row>
    <row r="4" spans="2:4" ht="12.75">
      <c r="B4" s="138" t="s">
        <v>71</v>
      </c>
      <c r="C4" s="159">
        <v>686315.2</v>
      </c>
      <c r="D4" s="147"/>
    </row>
    <row r="5" spans="2:4" ht="12.75">
      <c r="B5" s="132" t="s">
        <v>72</v>
      </c>
      <c r="C5" s="154">
        <f>5*C4/100</f>
        <v>34315.76</v>
      </c>
      <c r="D5" s="132"/>
    </row>
    <row r="6" spans="2:3" ht="12.75">
      <c r="B6" s="132" t="s">
        <v>75</v>
      </c>
      <c r="C6" s="133">
        <f>95*C4/100</f>
        <v>651999.44</v>
      </c>
    </row>
    <row r="7" spans="2:4" ht="13.5" thickBot="1">
      <c r="B7" s="132" t="s">
        <v>74</v>
      </c>
      <c r="C7" s="154">
        <f>30*C4/100</f>
        <v>205894.56</v>
      </c>
      <c r="D7" s="132"/>
    </row>
    <row r="8" spans="2:12" ht="13.5" thickBot="1">
      <c r="B8" s="132" t="s">
        <v>73</v>
      </c>
      <c r="C8" s="139">
        <f>65*C4/100</f>
        <v>446104.88</v>
      </c>
      <c r="D8" s="353" t="s">
        <v>154</v>
      </c>
      <c r="E8" s="151" t="s">
        <v>143</v>
      </c>
      <c r="F8" s="355" t="s">
        <v>684</v>
      </c>
      <c r="G8" s="356"/>
      <c r="H8" s="357" t="s">
        <v>147</v>
      </c>
      <c r="I8" s="358"/>
      <c r="J8" s="359"/>
      <c r="K8" s="167" t="s">
        <v>148</v>
      </c>
      <c r="L8" s="168" t="s">
        <v>149</v>
      </c>
    </row>
    <row r="9" spans="2:13" ht="13.5" thickBot="1">
      <c r="B9" s="134" t="s">
        <v>77</v>
      </c>
      <c r="C9" s="139">
        <f>C10+C11+C12</f>
        <v>446104.88</v>
      </c>
      <c r="D9" s="354"/>
      <c r="E9" s="157">
        <f>SUM(E10:E12)</f>
        <v>857303.4400000001</v>
      </c>
      <c r="F9" s="153" t="s">
        <v>141</v>
      </c>
      <c r="G9" s="148" t="s">
        <v>142</v>
      </c>
      <c r="H9" s="149" t="s">
        <v>144</v>
      </c>
      <c r="I9" s="150" t="s">
        <v>145</v>
      </c>
      <c r="J9" s="150" t="s">
        <v>147</v>
      </c>
      <c r="K9" s="370" t="s">
        <v>150</v>
      </c>
      <c r="L9" s="361"/>
      <c r="M9" s="150" t="s">
        <v>146</v>
      </c>
    </row>
    <row r="10" spans="2:13" ht="12.75">
      <c r="B10" s="134" t="s">
        <v>76</v>
      </c>
      <c r="C10" s="133">
        <f>E10*80/100</f>
        <v>185583.88</v>
      </c>
      <c r="D10" s="156" t="s">
        <v>151</v>
      </c>
      <c r="E10" s="158">
        <f>SUM(F10:M10)</f>
        <v>231979.85</v>
      </c>
      <c r="F10" s="152">
        <v>231979.85</v>
      </c>
      <c r="G10" s="152" t="s">
        <v>155</v>
      </c>
      <c r="H10" s="152"/>
      <c r="I10" s="152" t="s">
        <v>156</v>
      </c>
      <c r="J10" s="152" t="s">
        <v>155</v>
      </c>
      <c r="K10" s="362"/>
      <c r="L10" s="364"/>
      <c r="M10" s="152"/>
    </row>
    <row r="11" spans="2:13" ht="12.75">
      <c r="B11" s="134" t="s">
        <v>78</v>
      </c>
      <c r="C11" s="188">
        <f>E11*80/100-2300.76</f>
        <v>260521</v>
      </c>
      <c r="D11" s="155" t="s">
        <v>153</v>
      </c>
      <c r="E11" s="158">
        <f>SUM(F11:M11)</f>
        <v>328527.2</v>
      </c>
      <c r="F11" s="152">
        <v>61878.24</v>
      </c>
      <c r="G11" s="152">
        <v>25162.36</v>
      </c>
      <c r="H11" s="152"/>
      <c r="I11" s="152"/>
      <c r="J11" s="152">
        <f>34081.38-292.72-490</f>
        <v>33298.659999999996</v>
      </c>
      <c r="K11" s="152"/>
      <c r="L11" s="152">
        <f>56987.94+151200</f>
        <v>208187.94</v>
      </c>
      <c r="M11" s="152"/>
    </row>
    <row r="12" spans="2:13" ht="13.5" thickBot="1">
      <c r="B12" s="136" t="s">
        <v>79</v>
      </c>
      <c r="C12" s="137"/>
      <c r="D12" s="155" t="s">
        <v>372</v>
      </c>
      <c r="E12" s="289">
        <f>SUM(F12:M12)</f>
        <v>296796.39</v>
      </c>
      <c r="F12" s="152">
        <v>46141.91</v>
      </c>
      <c r="G12" s="152">
        <v>93637.64</v>
      </c>
      <c r="H12" s="152"/>
      <c r="I12" s="152"/>
      <c r="J12" s="152">
        <v>9595.34</v>
      </c>
      <c r="K12" s="152"/>
      <c r="L12" s="152">
        <v>147421.5</v>
      </c>
      <c r="M12" s="152"/>
    </row>
    <row r="13" spans="2:11" ht="12.75">
      <c r="B13" s="145" t="s">
        <v>80</v>
      </c>
      <c r="C13" s="141">
        <f>10*D3/100</f>
        <v>85789.4</v>
      </c>
      <c r="G13" s="154"/>
      <c r="K13" s="164"/>
    </row>
    <row r="14" spans="2:11" ht="12.75">
      <c r="B14" s="134" t="s">
        <v>82</v>
      </c>
      <c r="C14" s="140">
        <f>C15+C16+C17</f>
        <v>156942.11</v>
      </c>
      <c r="E14" s="176"/>
      <c r="G14" s="164"/>
      <c r="K14" s="164"/>
    </row>
    <row r="15" spans="2:11" ht="12.75">
      <c r="B15" s="142" t="s">
        <v>81</v>
      </c>
      <c r="C15" s="133">
        <f>55860.99+50026.87+18849.17</f>
        <v>124737.03</v>
      </c>
      <c r="G15" s="176"/>
      <c r="K15" s="164"/>
    </row>
    <row r="16" spans="2:3" ht="12.75">
      <c r="B16" s="142" t="s">
        <v>83</v>
      </c>
      <c r="C16" s="133">
        <f>14529.24+17675.84</f>
        <v>32205.08</v>
      </c>
    </row>
    <row r="17" spans="2:3" ht="12.75">
      <c r="B17" s="142" t="s">
        <v>84</v>
      </c>
      <c r="C17" s="133"/>
    </row>
    <row r="18" spans="2:3" ht="12.75">
      <c r="B18" s="132"/>
      <c r="C18" s="133"/>
    </row>
    <row r="19" spans="2:3" ht="13.5" thickBot="1">
      <c r="B19" s="143"/>
      <c r="C19" s="144"/>
    </row>
    <row r="20" spans="2:3" ht="12.75">
      <c r="B20" s="145" t="s">
        <v>273</v>
      </c>
      <c r="C20" s="141">
        <f>5*D3/100</f>
        <v>42894.7</v>
      </c>
    </row>
    <row r="21" spans="2:3" ht="12.75">
      <c r="B21" s="134" t="s">
        <v>274</v>
      </c>
      <c r="C21" s="140">
        <f>C22+C23+C24</f>
        <v>33298.659999999996</v>
      </c>
    </row>
    <row r="22" spans="2:3" ht="12.75">
      <c r="B22" s="142" t="s">
        <v>275</v>
      </c>
      <c r="C22" s="133">
        <f>SUM(H11:J11)</f>
        <v>33298.659999999996</v>
      </c>
    </row>
    <row r="23" spans="2:3" ht="12.75">
      <c r="B23" s="142" t="s">
        <v>276</v>
      </c>
      <c r="C23" s="133"/>
    </row>
    <row r="24" spans="2:3" ht="13.5" thickBot="1">
      <c r="B24" s="142" t="s">
        <v>277</v>
      </c>
      <c r="C24" s="133"/>
    </row>
    <row r="25" spans="2:11" ht="12.75">
      <c r="B25" s="132"/>
      <c r="C25" s="133"/>
      <c r="E25" s="346" t="s">
        <v>361</v>
      </c>
      <c r="F25" s="346" t="s">
        <v>374</v>
      </c>
      <c r="G25" s="346" t="s">
        <v>375</v>
      </c>
      <c r="H25" s="346" t="s">
        <v>376</v>
      </c>
      <c r="I25" s="346" t="s">
        <v>379</v>
      </c>
      <c r="J25" s="346" t="s">
        <v>377</v>
      </c>
      <c r="K25" s="224" t="s">
        <v>378</v>
      </c>
    </row>
    <row r="26" spans="2:11" ht="13.5" thickBot="1">
      <c r="B26" s="143"/>
      <c r="C26" s="144"/>
      <c r="E26" s="347"/>
      <c r="F26" s="347"/>
      <c r="G26" s="347"/>
      <c r="H26" s="347"/>
      <c r="I26" s="347"/>
      <c r="J26" s="347"/>
      <c r="K26" s="225"/>
    </row>
    <row r="27" spans="4:11" ht="15.75" thickBot="1">
      <c r="D27" s="231" t="s">
        <v>56</v>
      </c>
      <c r="E27" s="229">
        <v>340000</v>
      </c>
      <c r="F27" s="226">
        <v>90000</v>
      </c>
      <c r="G27" s="226">
        <v>180000</v>
      </c>
      <c r="H27" s="226">
        <v>180000</v>
      </c>
      <c r="I27" s="226">
        <v>25000</v>
      </c>
      <c r="J27" s="226">
        <v>42894</v>
      </c>
      <c r="K27" s="226">
        <f>SUM(E27:J27)</f>
        <v>857894</v>
      </c>
    </row>
    <row r="28" spans="5:11" ht="13.5" thickBot="1">
      <c r="E28" s="230">
        <f>SUM(E29:E32)</f>
        <v>342669.37</v>
      </c>
      <c r="F28" s="230">
        <f aca="true" t="shared" si="0" ref="F28:K28">SUM(F29:F32)</f>
        <v>54712.8</v>
      </c>
      <c r="G28" s="230">
        <f t="shared" si="0"/>
        <v>216000</v>
      </c>
      <c r="H28" s="230">
        <f t="shared" si="0"/>
        <v>176630.16</v>
      </c>
      <c r="I28" s="230">
        <f t="shared" si="0"/>
        <v>27066.48</v>
      </c>
      <c r="J28" s="230">
        <f t="shared" si="0"/>
        <v>42894</v>
      </c>
      <c r="K28" s="230">
        <f t="shared" si="0"/>
        <v>859972.81</v>
      </c>
    </row>
    <row r="29" spans="5:11" ht="13.5" thickBot="1">
      <c r="E29" s="227">
        <v>231979.85</v>
      </c>
      <c r="F29" s="228"/>
      <c r="G29" s="228"/>
      <c r="H29" s="228"/>
      <c r="I29" s="228"/>
      <c r="J29" s="228"/>
      <c r="K29" s="223">
        <f>SUM(E29:J29)</f>
        <v>231979.85</v>
      </c>
    </row>
    <row r="30" spans="5:11" ht="13.5" thickBot="1">
      <c r="E30" s="227">
        <v>61878.24</v>
      </c>
      <c r="F30" s="228">
        <v>25162.36</v>
      </c>
      <c r="G30" s="228">
        <v>151200</v>
      </c>
      <c r="H30" s="228">
        <v>44157.54</v>
      </c>
      <c r="I30" s="228">
        <v>12830.4</v>
      </c>
      <c r="J30" s="228">
        <v>33298.66</v>
      </c>
      <c r="K30" s="223">
        <f>SUM(E30:J30)</f>
        <v>328527.20000000007</v>
      </c>
    </row>
    <row r="31" spans="2:11" ht="13.5" thickBot="1">
      <c r="B31" s="277" t="s">
        <v>363</v>
      </c>
      <c r="C31" s="278">
        <f>C4-C36</f>
        <v>472.44799999997485</v>
      </c>
      <c r="D31" s="287">
        <f>D3-D35</f>
        <v>590.5599999999395</v>
      </c>
      <c r="E31" s="227">
        <v>48811.28</v>
      </c>
      <c r="F31" s="228">
        <v>29550.44</v>
      </c>
      <c r="G31" s="228">
        <v>64800</v>
      </c>
      <c r="H31" s="228">
        <v>132472.62</v>
      </c>
      <c r="I31" s="228">
        <v>14236.08</v>
      </c>
      <c r="J31" s="228">
        <v>9595.34</v>
      </c>
      <c r="K31" s="242">
        <f>SUM(E31:J31)</f>
        <v>299465.76</v>
      </c>
    </row>
    <row r="32" spans="5:11" ht="13.5" thickBot="1">
      <c r="E32" s="227"/>
      <c r="F32" s="228"/>
      <c r="G32" s="228"/>
      <c r="H32" s="228"/>
      <c r="I32" s="228"/>
      <c r="J32" s="228"/>
      <c r="K32" s="223">
        <f>SUM(E32:J32)</f>
        <v>0</v>
      </c>
    </row>
    <row r="34" ht="13.5" thickBot="1">
      <c r="F34" s="164"/>
    </row>
    <row r="35" spans="2:4" ht="12.75">
      <c r="B35" s="263"/>
      <c r="C35" s="256"/>
      <c r="D35" s="262">
        <v>857303.4400000001</v>
      </c>
    </row>
    <row r="36" spans="2:4" ht="13.5" thickBot="1">
      <c r="B36" s="264" t="s">
        <v>71</v>
      </c>
      <c r="C36" s="154">
        <f>D35*80/100</f>
        <v>685842.752</v>
      </c>
      <c r="D36" s="258"/>
    </row>
    <row r="37" spans="2:5" ht="13.5" thickBot="1">
      <c r="B37" s="265" t="s">
        <v>72</v>
      </c>
      <c r="C37" s="257">
        <f>5*C36/100</f>
        <v>34292.137599999995</v>
      </c>
      <c r="D37" s="257">
        <v>-448.82559999998193</v>
      </c>
      <c r="E37" s="276">
        <f>SUM(C37:D37)</f>
        <v>33843.31200000001</v>
      </c>
    </row>
    <row r="38" spans="2:4" ht="12.75">
      <c r="B38" s="265" t="s">
        <v>75</v>
      </c>
      <c r="C38" s="257">
        <f>95*C36/100</f>
        <v>651550.6144</v>
      </c>
      <c r="D38" s="259"/>
    </row>
    <row r="39" spans="2:4" ht="12.75">
      <c r="B39" s="265" t="s">
        <v>74</v>
      </c>
      <c r="C39" s="257">
        <v>205894.56</v>
      </c>
      <c r="D39" s="258">
        <f>SUM(C39:C41)</f>
        <v>651999.44</v>
      </c>
    </row>
    <row r="40" spans="2:4" ht="12.75">
      <c r="B40" s="266" t="s">
        <v>76</v>
      </c>
      <c r="C40" s="257">
        <v>185583.88</v>
      </c>
      <c r="D40" s="258"/>
    </row>
    <row r="41" spans="2:4" ht="12.75">
      <c r="B41" s="266" t="s">
        <v>78</v>
      </c>
      <c r="C41" s="257">
        <v>260521</v>
      </c>
      <c r="D41" s="258"/>
    </row>
    <row r="42" spans="2:4" ht="13.5" thickBot="1">
      <c r="B42" s="267" t="s">
        <v>40</v>
      </c>
      <c r="C42" s="260">
        <f>C38-D39</f>
        <v>-448.82559999998193</v>
      </c>
      <c r="D42" s="261">
        <f>SUM(C39:C42)</f>
        <v>651550.6144</v>
      </c>
    </row>
  </sheetData>
  <sheetProtection/>
  <mergeCells count="12">
    <mergeCell ref="I25:I26"/>
    <mergeCell ref="J25:J26"/>
    <mergeCell ref="E25:E26"/>
    <mergeCell ref="F25:F26"/>
    <mergeCell ref="G25:G26"/>
    <mergeCell ref="H25:H26"/>
    <mergeCell ref="K9:L9"/>
    <mergeCell ref="K10:L10"/>
    <mergeCell ref="B3:C3"/>
    <mergeCell ref="D8:D9"/>
    <mergeCell ref="F8:G8"/>
    <mergeCell ref="H8:J8"/>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9"/>
  </sheetPr>
  <dimension ref="A1:M66"/>
  <sheetViews>
    <sheetView zoomScalePageLayoutView="0" workbookViewId="0" topLeftCell="B1">
      <selection activeCell="M20" sqref="M20"/>
    </sheetView>
  </sheetViews>
  <sheetFormatPr defaultColWidth="9.140625" defaultRowHeight="12.75"/>
  <cols>
    <col min="2" max="2" width="25.140625" style="0" bestFit="1" customWidth="1"/>
    <col min="3" max="4" width="12.7109375" style="0" bestFit="1" customWidth="1"/>
    <col min="5" max="5" width="18.00390625" style="0" bestFit="1" customWidth="1"/>
    <col min="6" max="6" width="26.28125" style="0" bestFit="1" customWidth="1"/>
    <col min="7" max="7" width="23.00390625" style="0" bestFit="1" customWidth="1"/>
    <col min="8" max="8" width="18.57421875" style="0" bestFit="1" customWidth="1"/>
    <col min="9" max="9" width="18.421875" style="0" bestFit="1" customWidth="1"/>
    <col min="10" max="10" width="14.00390625" style="0" bestFit="1" customWidth="1"/>
    <col min="11" max="11" width="28.7109375" style="0" bestFit="1" customWidth="1"/>
    <col min="12" max="12" width="13.7109375" style="0" bestFit="1" customWidth="1"/>
    <col min="13" max="13" width="14.8515625" style="0" bestFit="1" customWidth="1"/>
  </cols>
  <sheetData>
    <row r="1" ht="12.75">
      <c r="A1" s="220"/>
    </row>
    <row r="2" ht="13.5" thickBot="1"/>
    <row r="3" spans="2:4" ht="13.5" thickBot="1">
      <c r="B3" s="351" t="s">
        <v>606</v>
      </c>
      <c r="C3" s="352"/>
      <c r="D3" s="146">
        <v>910825</v>
      </c>
    </row>
    <row r="4" spans="2:4" ht="12.75">
      <c r="B4" s="138" t="s">
        <v>71</v>
      </c>
      <c r="C4" s="159">
        <v>728821.8</v>
      </c>
      <c r="D4" s="147"/>
    </row>
    <row r="5" spans="2:4" ht="12.75">
      <c r="B5" s="132" t="s">
        <v>72</v>
      </c>
      <c r="C5" s="154">
        <f>5*C4/100</f>
        <v>36441.09</v>
      </c>
      <c r="D5" s="132"/>
    </row>
    <row r="6" spans="2:3" ht="12.75">
      <c r="B6" s="132" t="s">
        <v>75</v>
      </c>
      <c r="C6" s="133">
        <f>95*C4/100</f>
        <v>692380.71</v>
      </c>
    </row>
    <row r="7" spans="2:4" ht="13.5" thickBot="1">
      <c r="B7" s="132" t="s">
        <v>74</v>
      </c>
      <c r="C7" s="154">
        <f>30*C4/100</f>
        <v>218646.54</v>
      </c>
      <c r="D7" s="132"/>
    </row>
    <row r="8" spans="2:12" ht="13.5" thickBot="1">
      <c r="B8" s="132" t="s">
        <v>73</v>
      </c>
      <c r="C8" s="139">
        <f>65*C4/100</f>
        <v>473734.17</v>
      </c>
      <c r="D8" s="353" t="s">
        <v>154</v>
      </c>
      <c r="E8" s="151" t="s">
        <v>143</v>
      </c>
      <c r="F8" s="355" t="s">
        <v>684</v>
      </c>
      <c r="G8" s="356"/>
      <c r="H8" s="357" t="s">
        <v>147</v>
      </c>
      <c r="I8" s="358"/>
      <c r="J8" s="359"/>
      <c r="K8" s="167" t="s">
        <v>148</v>
      </c>
      <c r="L8" s="168" t="s">
        <v>149</v>
      </c>
    </row>
    <row r="9" spans="2:13" ht="13.5" thickBot="1">
      <c r="B9" s="134" t="s">
        <v>77</v>
      </c>
      <c r="C9" s="139">
        <f>C10+C11+C12</f>
        <v>470629.3724000001</v>
      </c>
      <c r="D9" s="354"/>
      <c r="E9" s="157">
        <f>SUM(E10:E12)</f>
        <v>906941.99</v>
      </c>
      <c r="F9" s="153" t="s">
        <v>141</v>
      </c>
      <c r="G9" s="148" t="s">
        <v>142</v>
      </c>
      <c r="H9" s="149" t="s">
        <v>144</v>
      </c>
      <c r="I9" s="150" t="s">
        <v>145</v>
      </c>
      <c r="J9" s="150" t="s">
        <v>147</v>
      </c>
      <c r="K9" s="370" t="s">
        <v>150</v>
      </c>
      <c r="L9" s="361"/>
      <c r="M9" s="150" t="s">
        <v>146</v>
      </c>
    </row>
    <row r="10" spans="2:13" ht="12.75">
      <c r="B10" s="134" t="s">
        <v>76</v>
      </c>
      <c r="C10" s="133">
        <f>E10*80/100</f>
        <v>218133.56799999997</v>
      </c>
      <c r="D10" s="156" t="s">
        <v>151</v>
      </c>
      <c r="E10" s="158">
        <f>SUM(F10:L10)</f>
        <v>272666.95999999996</v>
      </c>
      <c r="F10" s="152">
        <v>198002.96</v>
      </c>
      <c r="G10" s="152">
        <v>74664</v>
      </c>
      <c r="H10" s="152"/>
      <c r="I10" s="152" t="s">
        <v>156</v>
      </c>
      <c r="J10" s="152">
        <v>0</v>
      </c>
      <c r="K10" s="362"/>
      <c r="L10" s="364"/>
      <c r="M10" s="152"/>
    </row>
    <row r="11" spans="2:13" ht="12.75">
      <c r="B11" s="134" t="s">
        <v>78</v>
      </c>
      <c r="C11" s="133">
        <f>E11*80/100</f>
        <v>163163.848</v>
      </c>
      <c r="D11" s="155" t="s">
        <v>153</v>
      </c>
      <c r="E11" s="158">
        <f>SUM(F11:L11)</f>
        <v>203954.81</v>
      </c>
      <c r="F11" s="152">
        <v>119954.81</v>
      </c>
      <c r="G11" s="152">
        <v>84000</v>
      </c>
      <c r="H11" s="152"/>
      <c r="I11" s="152"/>
      <c r="J11" s="152"/>
      <c r="K11" s="377"/>
      <c r="L11" s="378"/>
      <c r="M11" s="152"/>
    </row>
    <row r="12" spans="2:13" ht="13.5" thickBot="1">
      <c r="B12" s="136" t="s">
        <v>79</v>
      </c>
      <c r="C12" s="133">
        <v>89331.95640000014</v>
      </c>
      <c r="D12" s="155" t="s">
        <v>372</v>
      </c>
      <c r="E12" s="158">
        <f>SUM(F12:L12)</f>
        <v>430320.22</v>
      </c>
      <c r="F12" s="152">
        <v>58112.229999999996</v>
      </c>
      <c r="G12" s="152">
        <f>57999.93+276216</f>
        <v>334215.93</v>
      </c>
      <c r="H12" s="152"/>
      <c r="I12" s="152"/>
      <c r="J12" s="152">
        <f>19875-3642.94-240</f>
        <v>15992.06</v>
      </c>
      <c r="K12" s="365">
        <v>22000</v>
      </c>
      <c r="L12" s="367"/>
      <c r="M12" s="152"/>
    </row>
    <row r="13" spans="2:3" ht="12.75">
      <c r="B13" s="145" t="s">
        <v>80</v>
      </c>
      <c r="C13" s="141">
        <f>10*D3/100</f>
        <v>91082.5</v>
      </c>
    </row>
    <row r="14" spans="2:7" ht="12.75">
      <c r="B14" s="134" t="s">
        <v>82</v>
      </c>
      <c r="C14" s="140">
        <f>C15+C16+C17</f>
        <v>104348.04</v>
      </c>
      <c r="E14" s="303" t="s">
        <v>155</v>
      </c>
      <c r="F14" s="302"/>
      <c r="G14" s="302"/>
    </row>
    <row r="15" spans="2:7" ht="12.75">
      <c r="B15" s="142" t="s">
        <v>81</v>
      </c>
      <c r="C15" s="133"/>
      <c r="F15" s="154"/>
      <c r="G15" s="154"/>
    </row>
    <row r="16" spans="2:8" ht="12.75">
      <c r="B16" s="142" t="s">
        <v>83</v>
      </c>
      <c r="C16" s="154">
        <f>9184.75+19930.16+35101.4+2497.53</f>
        <v>66713.84</v>
      </c>
      <c r="D16" s="132"/>
      <c r="F16" s="176"/>
      <c r="G16" s="176"/>
      <c r="H16" s="176"/>
    </row>
    <row r="17" spans="2:12" ht="12.75">
      <c r="B17" s="142" t="s">
        <v>84</v>
      </c>
      <c r="C17" s="133">
        <f>24915.7+12718.5</f>
        <v>37634.2</v>
      </c>
      <c r="D17" s="294"/>
      <c r="E17" s="268"/>
      <c r="F17" s="268"/>
      <c r="G17" s="268"/>
      <c r="H17" s="268"/>
      <c r="I17" s="293"/>
      <c r="J17" s="268"/>
      <c r="K17" s="293"/>
      <c r="L17" s="268"/>
    </row>
    <row r="18" spans="2:12" ht="12.75">
      <c r="B18" s="132"/>
      <c r="C18" s="133"/>
      <c r="D18" s="164"/>
      <c r="E18" s="164"/>
      <c r="F18" s="176"/>
      <c r="G18" s="176"/>
      <c r="H18" s="164"/>
      <c r="J18" s="164"/>
      <c r="L18" s="164"/>
    </row>
    <row r="19" spans="2:12" ht="13.5" thickBot="1">
      <c r="B19" s="143"/>
      <c r="C19" s="144"/>
      <c r="D19" s="164"/>
      <c r="E19" s="164"/>
      <c r="F19" s="164"/>
      <c r="G19" s="164"/>
      <c r="H19" s="176"/>
      <c r="J19" s="164"/>
      <c r="L19" s="164"/>
    </row>
    <row r="20" spans="2:8" ht="12.75">
      <c r="B20" s="145" t="s">
        <v>273</v>
      </c>
      <c r="C20" s="141">
        <v>19875</v>
      </c>
      <c r="G20" s="176"/>
      <c r="H20" s="176"/>
    </row>
    <row r="21" spans="2:3" ht="12.75">
      <c r="B21" s="134" t="s">
        <v>274</v>
      </c>
      <c r="C21" s="140">
        <f>SUM(C22:C24)</f>
        <v>15992.06</v>
      </c>
    </row>
    <row r="22" spans="2:3" ht="12.75">
      <c r="B22" s="142" t="s">
        <v>275</v>
      </c>
      <c r="C22" s="133">
        <v>0</v>
      </c>
    </row>
    <row r="23" spans="2:7" ht="12.75">
      <c r="B23" s="142" t="s">
        <v>276</v>
      </c>
      <c r="C23" s="135"/>
      <c r="G23" s="164"/>
    </row>
    <row r="24" spans="2:10" ht="13.5" thickBot="1">
      <c r="B24" s="142" t="s">
        <v>277</v>
      </c>
      <c r="C24" s="133">
        <f>SUM(H12:J12)</f>
        <v>15992.06</v>
      </c>
      <c r="F24" s="154"/>
      <c r="G24" s="154"/>
      <c r="H24" s="154"/>
      <c r="I24" s="154"/>
      <c r="J24" s="158"/>
    </row>
    <row r="25" spans="2:11" ht="12.75">
      <c r="B25" s="132"/>
      <c r="C25" s="133"/>
      <c r="E25" s="346" t="s">
        <v>361</v>
      </c>
      <c r="F25" s="346" t="s">
        <v>374</v>
      </c>
      <c r="G25" s="346" t="s">
        <v>375</v>
      </c>
      <c r="H25" s="346" t="s">
        <v>376</v>
      </c>
      <c r="I25" s="346" t="s">
        <v>379</v>
      </c>
      <c r="J25" s="346" t="s">
        <v>377</v>
      </c>
      <c r="K25" s="224" t="s">
        <v>378</v>
      </c>
    </row>
    <row r="26" spans="2:11" ht="13.5" thickBot="1">
      <c r="B26" s="143"/>
      <c r="C26" s="144"/>
      <c r="E26" s="347"/>
      <c r="F26" s="347"/>
      <c r="G26" s="347"/>
      <c r="H26" s="347"/>
      <c r="I26" s="347"/>
      <c r="J26" s="347"/>
      <c r="K26" s="225"/>
    </row>
    <row r="27" spans="2:11" ht="15.75" thickBot="1">
      <c r="B27" s="220"/>
      <c r="C27" s="154"/>
      <c r="D27" s="231" t="s">
        <v>56</v>
      </c>
      <c r="E27" s="229">
        <v>501250</v>
      </c>
      <c r="F27" s="229">
        <v>306900</v>
      </c>
      <c r="G27" s="229">
        <v>29400</v>
      </c>
      <c r="H27" s="229"/>
      <c r="I27" s="229">
        <v>53400</v>
      </c>
      <c r="J27" s="229">
        <v>19875</v>
      </c>
      <c r="K27" s="229">
        <f>SUM(E27:J27)</f>
        <v>910825</v>
      </c>
    </row>
    <row r="28" spans="4:11" ht="15.75" thickBot="1">
      <c r="D28" s="232" t="s">
        <v>55</v>
      </c>
      <c r="E28" s="233">
        <v>430270</v>
      </c>
      <c r="F28" s="234">
        <v>416880</v>
      </c>
      <c r="G28" s="234">
        <v>300</v>
      </c>
      <c r="H28" s="234"/>
      <c r="I28" s="234">
        <v>48000</v>
      </c>
      <c r="J28" s="234">
        <v>15375</v>
      </c>
      <c r="K28" s="234">
        <f>SUM(E28:J28)</f>
        <v>910825</v>
      </c>
    </row>
    <row r="29" spans="5:11" ht="13.5" thickBot="1">
      <c r="E29" s="230">
        <f>SUM(E30:E33)</f>
        <v>434069.93000000005</v>
      </c>
      <c r="F29" s="230">
        <f aca="true" t="shared" si="0" ref="F29:K29">SUM(F30:F33)</f>
        <v>434880</v>
      </c>
      <c r="G29" s="230">
        <f t="shared" si="0"/>
        <v>0</v>
      </c>
      <c r="H29" s="230">
        <f t="shared" si="0"/>
        <v>0</v>
      </c>
      <c r="I29" s="230">
        <f t="shared" si="0"/>
        <v>22000</v>
      </c>
      <c r="J29" s="230">
        <f t="shared" si="0"/>
        <v>15992.06</v>
      </c>
      <c r="K29" s="230">
        <f t="shared" si="0"/>
        <v>906941.99</v>
      </c>
    </row>
    <row r="30" spans="5:11" ht="13.5" thickBot="1">
      <c r="E30" s="227">
        <v>198002.96</v>
      </c>
      <c r="F30" s="228">
        <v>74664</v>
      </c>
      <c r="G30" s="228"/>
      <c r="H30" s="228"/>
      <c r="I30" s="228"/>
      <c r="J30" s="228"/>
      <c r="K30" s="223">
        <f>SUM(E30:J30)</f>
        <v>272666.95999999996</v>
      </c>
    </row>
    <row r="31" spans="5:11" ht="13.5" thickBot="1">
      <c r="E31" s="227">
        <v>119954.81</v>
      </c>
      <c r="F31" s="228">
        <v>84000</v>
      </c>
      <c r="G31" s="228"/>
      <c r="H31" s="228"/>
      <c r="I31" s="228"/>
      <c r="J31" s="228"/>
      <c r="K31" s="223">
        <f>SUM(E31:J31)</f>
        <v>203954.81</v>
      </c>
    </row>
    <row r="32" spans="2:11" ht="13.5" thickBot="1">
      <c r="B32" s="277" t="s">
        <v>363</v>
      </c>
      <c r="C32" s="278">
        <f>C4-C37</f>
        <v>3268.207999999984</v>
      </c>
      <c r="D32" s="287">
        <f>D3-D36</f>
        <v>3883.0100000000093</v>
      </c>
      <c r="E32" s="227">
        <v>116112.16</v>
      </c>
      <c r="F32" s="228">
        <v>276216</v>
      </c>
      <c r="G32" s="228"/>
      <c r="H32" s="228"/>
      <c r="I32" s="228">
        <v>22000</v>
      </c>
      <c r="J32" s="228">
        <f>19875-3642.94-240</f>
        <v>15992.06</v>
      </c>
      <c r="K32" s="223">
        <f>SUM(E32:J32)</f>
        <v>430320.22000000003</v>
      </c>
    </row>
    <row r="33" spans="5:11" ht="13.5" thickBot="1">
      <c r="E33" s="227"/>
      <c r="F33" s="228"/>
      <c r="G33" s="228"/>
      <c r="H33" s="228"/>
      <c r="I33" s="228"/>
      <c r="J33" s="228"/>
      <c r="K33" s="223">
        <f>SUM(E33:J33)</f>
        <v>0</v>
      </c>
    </row>
    <row r="35" ht="13.5" thickBot="1"/>
    <row r="36" spans="2:4" ht="12.75">
      <c r="B36" s="263"/>
      <c r="C36" s="256"/>
      <c r="D36" s="262">
        <v>906941.99</v>
      </c>
    </row>
    <row r="37" spans="2:4" ht="12.75">
      <c r="B37" s="264" t="s">
        <v>71</v>
      </c>
      <c r="C37" s="154">
        <f>D36*80/100</f>
        <v>725553.5920000001</v>
      </c>
      <c r="D37" s="258"/>
    </row>
    <row r="38" spans="2:4" ht="12.75">
      <c r="B38" s="265" t="s">
        <v>72</v>
      </c>
      <c r="C38" s="304">
        <f>5*C37/100</f>
        <v>36277.6796</v>
      </c>
      <c r="D38" s="258"/>
    </row>
    <row r="39" spans="2:4" ht="12.75">
      <c r="B39" s="265" t="s">
        <v>75</v>
      </c>
      <c r="C39" s="257">
        <f>95*C37/100</f>
        <v>689275.9124000001</v>
      </c>
      <c r="D39" s="259"/>
    </row>
    <row r="40" spans="2:4" ht="12.75">
      <c r="B40" s="265" t="s">
        <v>74</v>
      </c>
      <c r="C40" s="257">
        <v>218646.54</v>
      </c>
      <c r="D40" s="258">
        <f>SUM(C40:C42)</f>
        <v>599943.956</v>
      </c>
    </row>
    <row r="41" spans="2:8" ht="12.75">
      <c r="B41" s="266" t="s">
        <v>76</v>
      </c>
      <c r="C41" s="257">
        <v>218133.56799999997</v>
      </c>
      <c r="D41" s="258"/>
      <c r="G41" s="164"/>
      <c r="H41" s="164"/>
    </row>
    <row r="42" spans="2:4" ht="12.75">
      <c r="B42" s="266" t="s">
        <v>78</v>
      </c>
      <c r="C42" s="257">
        <v>163163.848</v>
      </c>
      <c r="D42" s="258"/>
    </row>
    <row r="43" spans="2:4" ht="13.5" thickBot="1">
      <c r="B43" s="267" t="s">
        <v>40</v>
      </c>
      <c r="C43" s="260">
        <f>C39-D40</f>
        <v>89331.95640000014</v>
      </c>
      <c r="D43" s="261">
        <f>SUM(C40:C43)</f>
        <v>689275.9124000001</v>
      </c>
    </row>
    <row r="44" ht="12.75">
      <c r="E44" s="164"/>
    </row>
    <row r="45" ht="12.75">
      <c r="E45" s="164"/>
    </row>
    <row r="46" ht="12.75">
      <c r="E46" s="164"/>
    </row>
    <row r="47" ht="12.75">
      <c r="E47" s="164"/>
    </row>
    <row r="51" ht="12.75">
      <c r="E51" s="164"/>
    </row>
    <row r="64" ht="12.75">
      <c r="E64" s="164"/>
    </row>
    <row r="66" ht="12.75">
      <c r="E66" s="164"/>
    </row>
  </sheetData>
  <sheetProtection/>
  <mergeCells count="14">
    <mergeCell ref="K12:L12"/>
    <mergeCell ref="K11:L11"/>
    <mergeCell ref="I25:I26"/>
    <mergeCell ref="J25:J26"/>
    <mergeCell ref="E25:E26"/>
    <mergeCell ref="F25:F26"/>
    <mergeCell ref="G25:G26"/>
    <mergeCell ref="H25:H26"/>
    <mergeCell ref="K9:L9"/>
    <mergeCell ref="K10:L10"/>
    <mergeCell ref="B3:C3"/>
    <mergeCell ref="D8:D9"/>
    <mergeCell ref="F8:G8"/>
    <mergeCell ref="H8:J8"/>
  </mergeCell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B3:M66"/>
  <sheetViews>
    <sheetView zoomScalePageLayoutView="0" workbookViewId="0" topLeftCell="A1">
      <selection activeCell="E39" sqref="E39"/>
    </sheetView>
  </sheetViews>
  <sheetFormatPr defaultColWidth="9.140625" defaultRowHeight="12.75"/>
  <cols>
    <col min="2" max="2" width="25.140625" style="0" bestFit="1" customWidth="1"/>
    <col min="3" max="3" width="17.28125" style="0" bestFit="1" customWidth="1"/>
    <col min="4" max="4" width="17.00390625" style="0" bestFit="1" customWidth="1"/>
    <col min="5" max="5" width="18.00390625" style="0" bestFit="1" customWidth="1"/>
    <col min="6" max="6" width="26.28125" style="0" bestFit="1" customWidth="1"/>
    <col min="7" max="7" width="23.00390625" style="0" bestFit="1" customWidth="1"/>
    <col min="8" max="8" width="18.57421875" style="0" bestFit="1" customWidth="1"/>
    <col min="9" max="9" width="15.421875" style="0" bestFit="1" customWidth="1"/>
    <col min="10" max="10" width="14.140625" style="0" bestFit="1" customWidth="1"/>
    <col min="11" max="11" width="27.140625" style="0" bestFit="1" customWidth="1"/>
    <col min="12" max="12" width="13.57421875" style="0" bestFit="1" customWidth="1"/>
    <col min="13" max="13" width="14.8515625" style="0" bestFit="1" customWidth="1"/>
  </cols>
  <sheetData>
    <row r="2" ht="13.5" thickBot="1"/>
    <row r="3" spans="2:4" ht="13.5" thickBot="1">
      <c r="B3" s="351" t="s">
        <v>341</v>
      </c>
      <c r="C3" s="352"/>
      <c r="D3" s="146">
        <v>850000</v>
      </c>
    </row>
    <row r="4" spans="2:4" ht="12.75">
      <c r="B4" s="138" t="s">
        <v>71</v>
      </c>
      <c r="C4" s="159">
        <v>680400</v>
      </c>
      <c r="D4" s="147"/>
    </row>
    <row r="5" spans="2:4" ht="12.75">
      <c r="B5" s="132" t="s">
        <v>72</v>
      </c>
      <c r="C5" s="154">
        <f>5*C4/100</f>
        <v>34020</v>
      </c>
      <c r="D5" s="132"/>
    </row>
    <row r="6" spans="2:3" ht="12.75">
      <c r="B6" s="132" t="s">
        <v>75</v>
      </c>
      <c r="C6" s="133">
        <f>95*C4/100</f>
        <v>646380</v>
      </c>
    </row>
    <row r="7" spans="2:4" ht="13.5" thickBot="1">
      <c r="B7" s="132" t="s">
        <v>74</v>
      </c>
      <c r="C7" s="154">
        <f>30*C4/100</f>
        <v>204120</v>
      </c>
      <c r="D7" s="132"/>
    </row>
    <row r="8" spans="2:12" ht="13.5" thickBot="1">
      <c r="B8" s="132" t="s">
        <v>73</v>
      </c>
      <c r="C8" s="139">
        <f>65*C4/100</f>
        <v>442260</v>
      </c>
      <c r="D8" s="353" t="s">
        <v>154</v>
      </c>
      <c r="E8" s="151" t="s">
        <v>143</v>
      </c>
      <c r="F8" s="355" t="s">
        <v>684</v>
      </c>
      <c r="G8" s="356"/>
      <c r="H8" s="357" t="s">
        <v>147</v>
      </c>
      <c r="I8" s="358"/>
      <c r="J8" s="359"/>
      <c r="K8" s="167" t="s">
        <v>148</v>
      </c>
      <c r="L8" s="168" t="s">
        <v>149</v>
      </c>
    </row>
    <row r="9" spans="2:13" ht="13.5" thickBot="1">
      <c r="B9" s="134" t="s">
        <v>77</v>
      </c>
      <c r="C9" s="139">
        <f>C10+C11+C12</f>
        <v>442259.998</v>
      </c>
      <c r="D9" s="354"/>
      <c r="E9" s="157">
        <f>SUM(E10:E12)</f>
        <v>849801.84</v>
      </c>
      <c r="F9" s="153" t="s">
        <v>141</v>
      </c>
      <c r="G9" s="148" t="s">
        <v>142</v>
      </c>
      <c r="H9" s="149" t="s">
        <v>144</v>
      </c>
      <c r="I9" s="150" t="s">
        <v>145</v>
      </c>
      <c r="J9" s="150" t="s">
        <v>147</v>
      </c>
      <c r="K9" s="370" t="s">
        <v>150</v>
      </c>
      <c r="L9" s="361"/>
      <c r="M9" s="150" t="s">
        <v>146</v>
      </c>
    </row>
    <row r="10" spans="2:13" ht="12.75">
      <c r="B10" s="134" t="s">
        <v>76</v>
      </c>
      <c r="C10" s="133">
        <f>E10*80/100</f>
        <v>162378.22400000002</v>
      </c>
      <c r="D10" s="156" t="s">
        <v>151</v>
      </c>
      <c r="E10" s="158">
        <f>SUM(F10:L10)</f>
        <v>202972.78</v>
      </c>
      <c r="F10" s="152">
        <v>173202.82</v>
      </c>
      <c r="G10" s="152"/>
      <c r="H10" s="152"/>
      <c r="I10" s="152" t="s">
        <v>156</v>
      </c>
      <c r="J10" s="152">
        <v>29769.96</v>
      </c>
      <c r="K10" s="362"/>
      <c r="L10" s="364"/>
      <c r="M10" s="152"/>
    </row>
    <row r="11" spans="2:13" ht="12.75">
      <c r="B11" s="134" t="s">
        <v>78</v>
      </c>
      <c r="C11" s="188">
        <f>E11*80/100-95226.77</f>
        <v>279881.774</v>
      </c>
      <c r="D11" s="155" t="s">
        <v>153</v>
      </c>
      <c r="E11" s="158">
        <f>SUM(F11:L11)</f>
        <v>468885.68</v>
      </c>
      <c r="F11" s="152">
        <v>235960.88</v>
      </c>
      <c r="G11" s="152">
        <v>207924.8</v>
      </c>
      <c r="H11" s="152"/>
      <c r="I11" s="152"/>
      <c r="J11" s="152"/>
      <c r="K11" s="152"/>
      <c r="L11" s="152">
        <v>25000</v>
      </c>
      <c r="M11" s="152"/>
    </row>
    <row r="12" spans="2:13" ht="13.5" thickBot="1">
      <c r="B12" s="136" t="s">
        <v>79</v>
      </c>
      <c r="C12" s="137"/>
      <c r="D12" s="155" t="s">
        <v>372</v>
      </c>
      <c r="E12" s="158">
        <f>SUM(F12:L12)</f>
        <v>177943.37999999998</v>
      </c>
      <c r="F12" s="152">
        <v>109834.3</v>
      </c>
      <c r="G12" s="152">
        <v>50000</v>
      </c>
      <c r="H12" s="152"/>
      <c r="I12" s="152"/>
      <c r="J12" s="152">
        <v>6229.08</v>
      </c>
      <c r="K12" s="152"/>
      <c r="L12" s="152">
        <v>11880</v>
      </c>
      <c r="M12" s="152"/>
    </row>
    <row r="13" spans="2:3" ht="12.75">
      <c r="B13" s="145" t="s">
        <v>80</v>
      </c>
      <c r="C13" s="141">
        <f>10*D3/100</f>
        <v>85000</v>
      </c>
    </row>
    <row r="14" spans="2:5" ht="12.75">
      <c r="B14" s="134" t="s">
        <v>82</v>
      </c>
      <c r="C14" s="140">
        <f>C15+C16+C17</f>
        <v>70082.32</v>
      </c>
      <c r="E14" s="176"/>
    </row>
    <row r="15" spans="2:3" ht="12.75">
      <c r="B15" s="142" t="s">
        <v>81</v>
      </c>
      <c r="C15" s="133">
        <v>40953.36</v>
      </c>
    </row>
    <row r="16" spans="2:3" ht="12.75">
      <c r="B16" s="142" t="s">
        <v>83</v>
      </c>
      <c r="C16" s="133">
        <v>29128.96</v>
      </c>
    </row>
    <row r="17" spans="2:5" ht="12.75">
      <c r="B17" s="142" t="s">
        <v>84</v>
      </c>
      <c r="C17" s="133"/>
      <c r="E17" s="176"/>
    </row>
    <row r="18" spans="2:3" ht="12.75">
      <c r="B18" s="132"/>
      <c r="C18" s="133"/>
    </row>
    <row r="19" spans="2:3" ht="13.5" thickBot="1">
      <c r="B19" s="143"/>
      <c r="C19" s="144"/>
    </row>
    <row r="20" spans="2:8" ht="12.75">
      <c r="B20" s="145" t="s">
        <v>273</v>
      </c>
      <c r="C20" s="141">
        <v>36000</v>
      </c>
      <c r="F20" s="164"/>
      <c r="G20" s="164"/>
      <c r="H20" s="164"/>
    </row>
    <row r="21" spans="2:8" ht="12.75">
      <c r="B21" s="134" t="s">
        <v>274</v>
      </c>
      <c r="C21" s="140">
        <f>C22+C23+C24</f>
        <v>35999.04</v>
      </c>
      <c r="F21" s="164"/>
      <c r="G21" s="164"/>
      <c r="H21" s="164"/>
    </row>
    <row r="22" spans="2:3" ht="12.75">
      <c r="B22" s="142" t="s">
        <v>275</v>
      </c>
      <c r="C22" s="133">
        <v>29769.96</v>
      </c>
    </row>
    <row r="23" spans="2:3" ht="12.75">
      <c r="B23" s="142" t="s">
        <v>276</v>
      </c>
      <c r="C23" s="133"/>
    </row>
    <row r="24" spans="2:3" ht="13.5" thickBot="1">
      <c r="B24" s="142" t="s">
        <v>277</v>
      </c>
      <c r="C24" s="133">
        <f>SUM(H12:J12)</f>
        <v>6229.08</v>
      </c>
    </row>
    <row r="25" spans="2:11" ht="12.75">
      <c r="B25" s="132"/>
      <c r="C25" s="133"/>
      <c r="E25" s="346" t="s">
        <v>361</v>
      </c>
      <c r="F25" s="346" t="s">
        <v>374</v>
      </c>
      <c r="G25" s="346" t="s">
        <v>375</v>
      </c>
      <c r="H25" s="346" t="s">
        <v>376</v>
      </c>
      <c r="I25" s="346" t="s">
        <v>379</v>
      </c>
      <c r="J25" s="346" t="s">
        <v>377</v>
      </c>
      <c r="K25" s="224" t="s">
        <v>378</v>
      </c>
    </row>
    <row r="26" spans="2:11" ht="13.5" thickBot="1">
      <c r="B26" s="143"/>
      <c r="C26" s="144"/>
      <c r="E26" s="347"/>
      <c r="F26" s="347"/>
      <c r="G26" s="347"/>
      <c r="H26" s="347"/>
      <c r="I26" s="347"/>
      <c r="J26" s="347"/>
      <c r="K26" s="225"/>
    </row>
    <row r="27" spans="4:11" ht="15.75" thickBot="1">
      <c r="D27" s="231" t="s">
        <v>56</v>
      </c>
      <c r="E27" s="229">
        <v>570000</v>
      </c>
      <c r="F27" s="226">
        <v>215000</v>
      </c>
      <c r="G27" s="226">
        <v>25000</v>
      </c>
      <c r="H27" s="226">
        <v>0</v>
      </c>
      <c r="I27" s="226">
        <v>10000</v>
      </c>
      <c r="J27" s="226">
        <v>30000</v>
      </c>
      <c r="K27" s="226">
        <f>SUM(E27:J27)</f>
        <v>850000</v>
      </c>
    </row>
    <row r="28" spans="4:11" ht="15.75" thickBot="1">
      <c r="D28" s="232" t="s">
        <v>55</v>
      </c>
      <c r="E28" s="233">
        <v>519000</v>
      </c>
      <c r="F28" s="234">
        <v>258000</v>
      </c>
      <c r="G28" s="234">
        <v>25000</v>
      </c>
      <c r="H28" s="234"/>
      <c r="I28" s="234">
        <v>12000</v>
      </c>
      <c r="J28" s="234">
        <v>36000</v>
      </c>
      <c r="K28" s="234">
        <f>SUM(E28:J28)</f>
        <v>850000</v>
      </c>
    </row>
    <row r="29" spans="5:11" ht="13.5" thickBot="1">
      <c r="E29" s="230">
        <f>SUM(E30:E33)</f>
        <v>518998</v>
      </c>
      <c r="F29" s="230">
        <f aca="true" t="shared" si="0" ref="F29:K29">SUM(F30:F33)</f>
        <v>257924.8</v>
      </c>
      <c r="G29" s="230">
        <f t="shared" si="0"/>
        <v>25000</v>
      </c>
      <c r="H29" s="230">
        <f t="shared" si="0"/>
        <v>0</v>
      </c>
      <c r="I29" s="230">
        <f t="shared" si="0"/>
        <v>11880</v>
      </c>
      <c r="J29" s="230">
        <f t="shared" si="0"/>
        <v>35999.04</v>
      </c>
      <c r="K29" s="230">
        <f t="shared" si="0"/>
        <v>849801.84</v>
      </c>
    </row>
    <row r="30" spans="5:11" ht="13.5" thickBot="1">
      <c r="E30" s="227">
        <v>173202.82</v>
      </c>
      <c r="F30" s="228"/>
      <c r="G30" s="228"/>
      <c r="H30" s="228"/>
      <c r="I30" s="228"/>
      <c r="J30" s="228">
        <v>29769.96</v>
      </c>
      <c r="K30" s="223">
        <f>SUM(E30:J30)</f>
        <v>202972.78</v>
      </c>
    </row>
    <row r="31" spans="2:11" ht="13.5" thickBot="1">
      <c r="B31" s="277" t="s">
        <v>363</v>
      </c>
      <c r="C31" s="278">
        <f>C4-C36</f>
        <v>558.527999999933</v>
      </c>
      <c r="D31" s="321">
        <f>D3-D35</f>
        <v>198.1600000000326</v>
      </c>
      <c r="E31" s="227">
        <v>235960.88</v>
      </c>
      <c r="F31" s="228">
        <v>207924.8</v>
      </c>
      <c r="G31" s="228">
        <v>25000</v>
      </c>
      <c r="H31" s="228"/>
      <c r="I31" s="228"/>
      <c r="J31" s="228"/>
      <c r="K31" s="223">
        <f>SUM(E31:J31)</f>
        <v>468885.68</v>
      </c>
    </row>
    <row r="32" spans="5:11" ht="13.5" thickBot="1">
      <c r="E32" s="227">
        <v>109834.3</v>
      </c>
      <c r="F32" s="228">
        <v>50000</v>
      </c>
      <c r="G32" s="228"/>
      <c r="H32" s="228"/>
      <c r="I32" s="228">
        <v>11880</v>
      </c>
      <c r="J32" s="228">
        <v>6229.08</v>
      </c>
      <c r="K32" s="223">
        <f>SUM(E32:J32)</f>
        <v>177943.37999999998</v>
      </c>
    </row>
    <row r="33" spans="5:11" ht="13.5" thickBot="1">
      <c r="E33" s="227"/>
      <c r="F33" s="228"/>
      <c r="G33" s="228"/>
      <c r="H33" s="228"/>
      <c r="I33" s="228"/>
      <c r="J33" s="228"/>
      <c r="K33" s="223">
        <f>SUM(E33:J33)</f>
        <v>0</v>
      </c>
    </row>
    <row r="34" ht="13.5" thickBot="1"/>
    <row r="35" spans="2:4" ht="12.75">
      <c r="B35" s="263"/>
      <c r="C35" s="256"/>
      <c r="D35" s="262">
        <v>849801.84</v>
      </c>
    </row>
    <row r="36" spans="2:4" ht="13.5" thickBot="1">
      <c r="B36" s="264" t="s">
        <v>71</v>
      </c>
      <c r="C36" s="154">
        <f>D35*80/100</f>
        <v>679841.4720000001</v>
      </c>
      <c r="D36" s="258"/>
    </row>
    <row r="37" spans="2:5" ht="13.5" thickBot="1">
      <c r="B37" s="265" t="s">
        <v>72</v>
      </c>
      <c r="C37" s="257">
        <f>5*C36/100</f>
        <v>33992.0736</v>
      </c>
      <c r="D37" s="258">
        <v>-530.5995999999577</v>
      </c>
      <c r="E37" s="276">
        <f>SUM(C37:D37)</f>
        <v>33461.474000000046</v>
      </c>
    </row>
    <row r="38" spans="2:4" ht="12.75">
      <c r="B38" s="265" t="s">
        <v>75</v>
      </c>
      <c r="C38" s="257">
        <f>95*C36/100</f>
        <v>645849.3984000001</v>
      </c>
      <c r="D38" s="259"/>
    </row>
    <row r="39" spans="2:4" ht="12.75">
      <c r="B39" s="265" t="s">
        <v>74</v>
      </c>
      <c r="C39" s="257">
        <v>204120</v>
      </c>
      <c r="D39" s="258">
        <f>SUM(C39:C41)</f>
        <v>646379.998</v>
      </c>
    </row>
    <row r="40" spans="2:4" ht="12.75">
      <c r="B40" s="266" t="s">
        <v>76</v>
      </c>
      <c r="C40" s="257">
        <v>162378.22400000002</v>
      </c>
      <c r="D40" s="258"/>
    </row>
    <row r="41" spans="2:4" ht="12.75">
      <c r="B41" s="266" t="s">
        <v>78</v>
      </c>
      <c r="C41" s="257">
        <v>279881.774</v>
      </c>
      <c r="D41" s="258"/>
    </row>
    <row r="42" spans="2:4" ht="13.5" thickBot="1">
      <c r="B42" s="267" t="s">
        <v>40</v>
      </c>
      <c r="C42" s="260">
        <f>C38-D39</f>
        <v>-530.5995999999577</v>
      </c>
      <c r="D42" s="261">
        <f>SUM(C39:C42)</f>
        <v>645849.3984000001</v>
      </c>
    </row>
    <row r="44" ht="12.75">
      <c r="E44" s="164"/>
    </row>
    <row r="45" ht="12.75">
      <c r="E45" s="164"/>
    </row>
    <row r="46" ht="12.75">
      <c r="E46" s="164"/>
    </row>
    <row r="47" ht="12.75">
      <c r="E47" s="164"/>
    </row>
    <row r="51" ht="12.75">
      <c r="E51" s="164"/>
    </row>
    <row r="64" ht="12.75">
      <c r="E64" s="164"/>
    </row>
    <row r="66" ht="12.75">
      <c r="E66" s="164"/>
    </row>
  </sheetData>
  <sheetProtection/>
  <mergeCells count="12">
    <mergeCell ref="I25:I26"/>
    <mergeCell ref="J25:J26"/>
    <mergeCell ref="E25:E26"/>
    <mergeCell ref="F25:F26"/>
    <mergeCell ref="G25:G26"/>
    <mergeCell ref="H25:H26"/>
    <mergeCell ref="K9:L9"/>
    <mergeCell ref="K10:L10"/>
    <mergeCell ref="B3:C3"/>
    <mergeCell ref="D8:D9"/>
    <mergeCell ref="F8:G8"/>
    <mergeCell ref="H8:J8"/>
  </mergeCells>
  <printOptions/>
  <pageMargins left="0.7480314960629921" right="0.7480314960629921" top="0.984251968503937" bottom="0.984251968503937" header="0.5118110236220472" footer="0.5118110236220472"/>
  <pageSetup fitToHeight="1"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storelli</cp:lastModifiedBy>
  <cp:lastPrinted>2009-09-21T10:05:01Z</cp:lastPrinted>
  <dcterms:created xsi:type="dcterms:W3CDTF">2005-10-19T08:54:32Z</dcterms:created>
  <dcterms:modified xsi:type="dcterms:W3CDTF">2009-11-05T13:35:59Z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